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om\Desktop\Job\"/>
    </mc:Choice>
  </mc:AlternateContent>
  <xr:revisionPtr revIDLastSave="0" documentId="13_ncr:1_{B974BAB6-DE71-45A5-83D2-5D3FDA737BFB}" xr6:coauthVersionLast="45" xr6:coauthVersionMax="45" xr10:uidLastSave="{00000000-0000-0000-0000-000000000000}"/>
  <bookViews>
    <workbookView xWindow="-120" yWindow="-120" windowWidth="20730" windowHeight="11310" tabRatio="606" xr2:uid="{FCDFFF72-65C3-46F5-84AD-BCDB50D4B98F}"/>
  </bookViews>
  <sheets>
    <sheet name="Question 1" sheetId="1" r:id="rId1"/>
    <sheet name="Question 1 (B)" sheetId="3" r:id="rId2"/>
    <sheet name="Question 2" sheetId="5" r:id="rId3"/>
    <sheet name="Qustion 3" sheetId="6" r:id="rId4"/>
    <sheet name="Question 4" sheetId="7" r:id="rId5"/>
    <sheet name="Question 5" sheetId="8" r:id="rId6"/>
    <sheet name="Question 6" sheetId="9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9" l="1"/>
  <c r="E8" i="9"/>
  <c r="C8" i="9"/>
  <c r="D8" i="9"/>
  <c r="F9" i="9" s="1"/>
  <c r="E33" i="9" s="1"/>
  <c r="H57" i="9"/>
  <c r="H56" i="9"/>
  <c r="H55" i="9"/>
  <c r="H54" i="9"/>
  <c r="H53" i="9"/>
  <c r="F48" i="9"/>
  <c r="F57" i="9" s="1"/>
  <c r="F47" i="9"/>
  <c r="B42" i="9"/>
  <c r="B41" i="9"/>
  <c r="B43" i="9" s="1"/>
  <c r="B53" i="9" s="1"/>
  <c r="F33" i="9"/>
  <c r="F32" i="9"/>
  <c r="F34" i="9" s="1"/>
  <c r="B26" i="9"/>
  <c r="C53" i="9" s="1"/>
  <c r="F11" i="9"/>
  <c r="E11" i="9"/>
  <c r="D11" i="9"/>
  <c r="C11" i="9"/>
  <c r="C9" i="9"/>
  <c r="B33" i="9" s="1"/>
  <c r="C7" i="9"/>
  <c r="B32" i="9" s="1"/>
  <c r="F6" i="9"/>
  <c r="F7" i="9" s="1"/>
  <c r="D6" i="9"/>
  <c r="E6" i="9" s="1"/>
  <c r="D5" i="9"/>
  <c r="I210" i="8"/>
  <c r="I209" i="8"/>
  <c r="I208" i="8"/>
  <c r="I207" i="8"/>
  <c r="C207" i="8"/>
  <c r="C198" i="8"/>
  <c r="C183" i="8"/>
  <c r="D207" i="8" s="1"/>
  <c r="F170" i="8"/>
  <c r="E170" i="8"/>
  <c r="D170" i="8"/>
  <c r="D168" i="8"/>
  <c r="C190" i="8" s="1"/>
  <c r="F167" i="8"/>
  <c r="E167" i="8"/>
  <c r="D166" i="8"/>
  <c r="C189" i="8" s="1"/>
  <c r="C191" i="8" s="1"/>
  <c r="C192" i="8" s="1"/>
  <c r="E164" i="8"/>
  <c r="E166" i="8" s="1"/>
  <c r="I154" i="8"/>
  <c r="I153" i="8"/>
  <c r="I152" i="8"/>
  <c r="I151" i="8"/>
  <c r="I150" i="8"/>
  <c r="I92" i="8"/>
  <c r="I91" i="8"/>
  <c r="I90" i="8"/>
  <c r="I89" i="8"/>
  <c r="I88" i="8"/>
  <c r="G145" i="8"/>
  <c r="G154" i="8" s="1"/>
  <c r="G144" i="8"/>
  <c r="C139" i="8"/>
  <c r="C138" i="8"/>
  <c r="C140" i="8" s="1"/>
  <c r="C150" i="8" s="1"/>
  <c r="G130" i="8"/>
  <c r="G129" i="8"/>
  <c r="C123" i="8"/>
  <c r="D150" i="8" s="1"/>
  <c r="G108" i="8"/>
  <c r="F108" i="8"/>
  <c r="E108" i="8"/>
  <c r="D108" i="8"/>
  <c r="D106" i="8"/>
  <c r="C130" i="8" s="1"/>
  <c r="F105" i="8"/>
  <c r="G105" i="8" s="1"/>
  <c r="G106" i="8" s="1"/>
  <c r="F130" i="8" s="1"/>
  <c r="E105" i="8"/>
  <c r="D104" i="8"/>
  <c r="C129" i="8" s="1"/>
  <c r="G103" i="8"/>
  <c r="G104" i="8" s="1"/>
  <c r="E103" i="8"/>
  <c r="F103" i="8" s="1"/>
  <c r="E102" i="8"/>
  <c r="G83" i="8"/>
  <c r="G92" i="8" s="1"/>
  <c r="G82" i="8"/>
  <c r="C77" i="8"/>
  <c r="C76" i="8"/>
  <c r="G68" i="8"/>
  <c r="G67" i="8"/>
  <c r="G69" i="8" s="1"/>
  <c r="D67" i="8"/>
  <c r="D69" i="8" s="1"/>
  <c r="C61" i="8"/>
  <c r="D88" i="8" s="1"/>
  <c r="G47" i="8"/>
  <c r="F47" i="8"/>
  <c r="E47" i="8"/>
  <c r="D47" i="8"/>
  <c r="D45" i="8"/>
  <c r="C68" i="8" s="1"/>
  <c r="F44" i="8"/>
  <c r="G44" i="8" s="1"/>
  <c r="G45" i="8" s="1"/>
  <c r="F68" i="8" s="1"/>
  <c r="E44" i="8"/>
  <c r="G43" i="8"/>
  <c r="G46" i="8" s="1"/>
  <c r="E43" i="8"/>
  <c r="D43" i="8"/>
  <c r="C67" i="8" s="1"/>
  <c r="F42" i="8"/>
  <c r="E42" i="8"/>
  <c r="F41" i="8"/>
  <c r="F43" i="8" s="1"/>
  <c r="E67" i="8" s="1"/>
  <c r="E41" i="8"/>
  <c r="E45" i="8" s="1"/>
  <c r="D68" i="8" s="1"/>
  <c r="F33" i="8"/>
  <c r="F31" i="8"/>
  <c r="F32" i="8"/>
  <c r="F30" i="8"/>
  <c r="E32" i="8"/>
  <c r="E31" i="8"/>
  <c r="E30" i="8"/>
  <c r="D33" i="8"/>
  <c r="D31" i="8"/>
  <c r="D32" i="8"/>
  <c r="D30" i="8"/>
  <c r="C33" i="8"/>
  <c r="C25" i="8"/>
  <c r="B19" i="8"/>
  <c r="C17" i="8"/>
  <c r="B16" i="8"/>
  <c r="C12" i="8"/>
  <c r="D9" i="9" l="1"/>
  <c r="C33" i="9" s="1"/>
  <c r="B34" i="9"/>
  <c r="B35" i="9" s="1"/>
  <c r="D53" i="9"/>
  <c r="G53" i="9" s="1"/>
  <c r="I53" i="9" s="1"/>
  <c r="F10" i="9"/>
  <c r="E32" i="9"/>
  <c r="E34" i="9" s="1"/>
  <c r="D7" i="9"/>
  <c r="C10" i="9"/>
  <c r="E5" i="9"/>
  <c r="E207" i="8"/>
  <c r="D189" i="8"/>
  <c r="H207" i="8"/>
  <c r="J207" i="8" s="1"/>
  <c r="E168" i="8"/>
  <c r="D190" i="8" s="1"/>
  <c r="D169" i="8"/>
  <c r="F164" i="8"/>
  <c r="G107" i="8"/>
  <c r="F129" i="8"/>
  <c r="F131" i="8" s="1"/>
  <c r="C69" i="8"/>
  <c r="C70" i="8" s="1"/>
  <c r="G49" i="8"/>
  <c r="G51" i="8" s="1"/>
  <c r="F92" i="8" s="1"/>
  <c r="G48" i="8"/>
  <c r="F45" i="8"/>
  <c r="E106" i="8"/>
  <c r="D130" i="8" s="1"/>
  <c r="F102" i="8"/>
  <c r="E104" i="8"/>
  <c r="D107" i="8"/>
  <c r="E46" i="8"/>
  <c r="D46" i="8"/>
  <c r="F67" i="8"/>
  <c r="F69" i="8" s="1"/>
  <c r="C78" i="8"/>
  <c r="C88" i="8" s="1"/>
  <c r="C131" i="8"/>
  <c r="C132" i="8" s="1"/>
  <c r="G131" i="8"/>
  <c r="C15" i="8"/>
  <c r="C16" i="8"/>
  <c r="E7" i="9" l="1"/>
  <c r="E9" i="9"/>
  <c r="D33" i="9" s="1"/>
  <c r="D10" i="9"/>
  <c r="C32" i="9"/>
  <c r="C34" i="9" s="1"/>
  <c r="C35" i="9" s="1"/>
  <c r="C12" i="9"/>
  <c r="C13" i="9" s="1"/>
  <c r="C15" i="9" s="1"/>
  <c r="E54" i="9" s="1"/>
  <c r="F12" i="9"/>
  <c r="F13" i="9" s="1"/>
  <c r="F15" i="9" s="1"/>
  <c r="E57" i="9" s="1"/>
  <c r="F168" i="8"/>
  <c r="E190" i="8" s="1"/>
  <c r="F166" i="8"/>
  <c r="E169" i="8"/>
  <c r="D172" i="8"/>
  <c r="D174" i="8" s="1"/>
  <c r="F208" i="8" s="1"/>
  <c r="D171" i="8"/>
  <c r="D191" i="8"/>
  <c r="D192" i="8" s="1"/>
  <c r="E150" i="8"/>
  <c r="H150" i="8" s="1"/>
  <c r="J150" i="8" s="1"/>
  <c r="E48" i="8"/>
  <c r="E49" i="8" s="1"/>
  <c r="E51" i="8" s="1"/>
  <c r="F90" i="8" s="1"/>
  <c r="D109" i="8"/>
  <c r="D110" i="8" s="1"/>
  <c r="D112" i="8" s="1"/>
  <c r="F151" i="8" s="1"/>
  <c r="F104" i="8"/>
  <c r="F106" i="8"/>
  <c r="E130" i="8" s="1"/>
  <c r="E68" i="8"/>
  <c r="E69" i="8" s="1"/>
  <c r="F46" i="8"/>
  <c r="D49" i="8"/>
  <c r="D51" i="8" s="1"/>
  <c r="F89" i="8" s="1"/>
  <c r="D48" i="8"/>
  <c r="E107" i="8"/>
  <c r="D129" i="8"/>
  <c r="D131" i="8" s="1"/>
  <c r="D132" i="8" s="1"/>
  <c r="D70" i="8"/>
  <c r="E88" i="8"/>
  <c r="H88" i="8" s="1"/>
  <c r="J88" i="8" s="1"/>
  <c r="G110" i="8"/>
  <c r="G112" i="8" s="1"/>
  <c r="F154" i="8" s="1"/>
  <c r="G109" i="8"/>
  <c r="C19" i="8"/>
  <c r="C20" i="8" s="1"/>
  <c r="C6" i="8"/>
  <c r="E6" i="7"/>
  <c r="D6" i="7"/>
  <c r="H56" i="7"/>
  <c r="H55" i="7"/>
  <c r="H54" i="7"/>
  <c r="H53" i="7"/>
  <c r="H52" i="7"/>
  <c r="F47" i="7"/>
  <c r="F56" i="7" s="1"/>
  <c r="F46" i="7"/>
  <c r="B41" i="7"/>
  <c r="B40" i="7"/>
  <c r="B42" i="7" s="1"/>
  <c r="B52" i="7" s="1"/>
  <c r="F32" i="7"/>
  <c r="F31" i="7"/>
  <c r="F33" i="7" s="1"/>
  <c r="B25" i="7"/>
  <c r="C52" i="7" s="1"/>
  <c r="F11" i="7"/>
  <c r="E11" i="7"/>
  <c r="D11" i="7"/>
  <c r="C11" i="7"/>
  <c r="C9" i="7"/>
  <c r="B32" i="7" s="1"/>
  <c r="E8" i="7"/>
  <c r="F8" i="7" s="1"/>
  <c r="F9" i="7" s="1"/>
  <c r="E32" i="7" s="1"/>
  <c r="D8" i="7"/>
  <c r="F7" i="7"/>
  <c r="F10" i="7" s="1"/>
  <c r="C7" i="7"/>
  <c r="B31" i="7" s="1"/>
  <c r="B33" i="7" s="1"/>
  <c r="B34" i="7" s="1"/>
  <c r="D7" i="7"/>
  <c r="E5" i="7"/>
  <c r="D5" i="7"/>
  <c r="D9" i="7" s="1"/>
  <c r="C32" i="7" s="1"/>
  <c r="C11" i="6"/>
  <c r="D11" i="6"/>
  <c r="E11" i="6"/>
  <c r="B25" i="6"/>
  <c r="C46" i="6" s="1"/>
  <c r="G49" i="6"/>
  <c r="G48" i="6"/>
  <c r="G47" i="6"/>
  <c r="G46" i="6"/>
  <c r="B41" i="6"/>
  <c r="B40" i="6"/>
  <c r="C9" i="6"/>
  <c r="B32" i="6" s="1"/>
  <c r="D8" i="6"/>
  <c r="E8" i="6" s="1"/>
  <c r="C7" i="6"/>
  <c r="B31" i="6" s="1"/>
  <c r="B33" i="6" s="1"/>
  <c r="B34" i="6" s="1"/>
  <c r="D5" i="6"/>
  <c r="D9" i="6" s="1"/>
  <c r="C32" i="6" s="1"/>
  <c r="D11" i="5"/>
  <c r="E11" i="5"/>
  <c r="C11" i="5"/>
  <c r="B39" i="5"/>
  <c r="H51" i="5"/>
  <c r="H50" i="5"/>
  <c r="H49" i="5"/>
  <c r="H48" i="5"/>
  <c r="B24" i="5"/>
  <c r="C48" i="5" s="1"/>
  <c r="C9" i="5"/>
  <c r="B31" i="5" s="1"/>
  <c r="D8" i="5"/>
  <c r="E8" i="5" s="1"/>
  <c r="C7" i="5"/>
  <c r="B30" i="5" s="1"/>
  <c r="B32" i="5" s="1"/>
  <c r="B33" i="5" s="1"/>
  <c r="D5" i="5"/>
  <c r="D9" i="5" s="1"/>
  <c r="C31" i="5" s="1"/>
  <c r="F67" i="1"/>
  <c r="H118" i="1"/>
  <c r="H117" i="1"/>
  <c r="H116" i="1"/>
  <c r="H115" i="1"/>
  <c r="H114" i="1"/>
  <c r="F109" i="1"/>
  <c r="F118" i="1" s="1"/>
  <c r="F108" i="1"/>
  <c r="B103" i="1"/>
  <c r="B102" i="1"/>
  <c r="B104" i="1" s="1"/>
  <c r="B114" i="1" s="1"/>
  <c r="F94" i="1"/>
  <c r="F93" i="1"/>
  <c r="F95" i="1" s="1"/>
  <c r="B87" i="1"/>
  <c r="C114" i="1" s="1"/>
  <c r="F72" i="1"/>
  <c r="E72" i="1"/>
  <c r="D72" i="1"/>
  <c r="C72" i="1"/>
  <c r="C70" i="1"/>
  <c r="B94" i="1" s="1"/>
  <c r="E69" i="1"/>
  <c r="F69" i="1" s="1"/>
  <c r="F70" i="1" s="1"/>
  <c r="E94" i="1" s="1"/>
  <c r="D69" i="1"/>
  <c r="F68" i="1"/>
  <c r="F71" i="1" s="1"/>
  <c r="D68" i="1"/>
  <c r="C68" i="1"/>
  <c r="B93" i="1" s="1"/>
  <c r="B95" i="1" s="1"/>
  <c r="B96" i="1" s="1"/>
  <c r="E67" i="1"/>
  <c r="D67" i="1"/>
  <c r="E66" i="1"/>
  <c r="E68" i="1" s="1"/>
  <c r="D66" i="1"/>
  <c r="D70" i="1" s="1"/>
  <c r="C94" i="1" s="1"/>
  <c r="F56" i="1"/>
  <c r="F46" i="1"/>
  <c r="D5" i="1"/>
  <c r="C15" i="1"/>
  <c r="C52" i="1"/>
  <c r="B52" i="1"/>
  <c r="I52" i="1"/>
  <c r="H56" i="1"/>
  <c r="H55" i="1"/>
  <c r="H54" i="1"/>
  <c r="H53" i="1"/>
  <c r="H52" i="1"/>
  <c r="G53" i="1"/>
  <c r="I53" i="1" s="1"/>
  <c r="G54" i="1"/>
  <c r="I54" i="1" s="1"/>
  <c r="G52" i="1"/>
  <c r="E55" i="1"/>
  <c r="E54" i="1"/>
  <c r="E53" i="1"/>
  <c r="D54" i="1"/>
  <c r="D53" i="1"/>
  <c r="D52" i="1"/>
  <c r="F47" i="1"/>
  <c r="B42" i="1"/>
  <c r="B41" i="1"/>
  <c r="B40" i="1"/>
  <c r="F11" i="1"/>
  <c r="E11" i="1"/>
  <c r="D11" i="1"/>
  <c r="C11" i="1"/>
  <c r="C31" i="1"/>
  <c r="F31" i="1"/>
  <c r="C32" i="1"/>
  <c r="D32" i="1"/>
  <c r="E32" i="1"/>
  <c r="F32" i="1"/>
  <c r="C33" i="1"/>
  <c r="F33" i="1"/>
  <c r="C34" i="1"/>
  <c r="B34" i="1"/>
  <c r="B33" i="1"/>
  <c r="B32" i="1"/>
  <c r="B31" i="1"/>
  <c r="B25" i="1"/>
  <c r="E8" i="1"/>
  <c r="F8" i="1"/>
  <c r="F9" i="1" s="1"/>
  <c r="D8" i="1"/>
  <c r="D9" i="1" s="1"/>
  <c r="D7" i="1"/>
  <c r="E6" i="1"/>
  <c r="D6" i="1"/>
  <c r="E5" i="1"/>
  <c r="E7" i="1" s="1"/>
  <c r="D31" i="1" s="1"/>
  <c r="D33" i="1" s="1"/>
  <c r="D34" i="1" s="1"/>
  <c r="E9" i="1"/>
  <c r="F7" i="1"/>
  <c r="E31" i="1" s="1"/>
  <c r="E33" i="1" s="1"/>
  <c r="C9" i="1"/>
  <c r="C7" i="1"/>
  <c r="D12" i="9" l="1"/>
  <c r="D13" i="9" s="1"/>
  <c r="D15" i="9" s="1"/>
  <c r="E55" i="9" s="1"/>
  <c r="D32" i="9"/>
  <c r="D34" i="9" s="1"/>
  <c r="D35" i="9" s="1"/>
  <c r="E10" i="9"/>
  <c r="D54" i="9"/>
  <c r="G54" i="9" s="1"/>
  <c r="I54" i="9" s="1"/>
  <c r="E189" i="8"/>
  <c r="E191" i="8" s="1"/>
  <c r="F169" i="8"/>
  <c r="E192" i="8"/>
  <c r="E208" i="8"/>
  <c r="H208" i="8" s="1"/>
  <c r="J208" i="8" s="1"/>
  <c r="E171" i="8"/>
  <c r="E172" i="8"/>
  <c r="E174" i="8" s="1"/>
  <c r="F209" i="8" s="1"/>
  <c r="E151" i="8"/>
  <c r="H151" i="8" s="1"/>
  <c r="J151" i="8" s="1"/>
  <c r="E70" i="8"/>
  <c r="E89" i="8"/>
  <c r="H89" i="8" s="1"/>
  <c r="J89" i="8" s="1"/>
  <c r="E110" i="8"/>
  <c r="E112" i="8" s="1"/>
  <c r="F152" i="8" s="1"/>
  <c r="E109" i="8"/>
  <c r="F49" i="8"/>
  <c r="F51" i="8" s="1"/>
  <c r="F91" i="8" s="1"/>
  <c r="F48" i="8"/>
  <c r="E129" i="8"/>
  <c r="E131" i="8" s="1"/>
  <c r="E132" i="8" s="1"/>
  <c r="F107" i="8"/>
  <c r="E7" i="7"/>
  <c r="D52" i="7"/>
  <c r="G52" i="7" s="1"/>
  <c r="I52" i="7" s="1"/>
  <c r="F12" i="7"/>
  <c r="F13" i="7" s="1"/>
  <c r="F15" i="7" s="1"/>
  <c r="E56" i="7" s="1"/>
  <c r="D10" i="7"/>
  <c r="E9" i="7"/>
  <c r="D32" i="7" s="1"/>
  <c r="C10" i="7"/>
  <c r="C31" i="7"/>
  <c r="C33" i="7" s="1"/>
  <c r="C34" i="7" s="1"/>
  <c r="E31" i="7"/>
  <c r="E33" i="7" s="1"/>
  <c r="E5" i="6"/>
  <c r="D7" i="6"/>
  <c r="B42" i="6"/>
  <c r="B46" i="6" s="1"/>
  <c r="E7" i="6"/>
  <c r="D31" i="6" s="1"/>
  <c r="D46" i="6"/>
  <c r="D10" i="6"/>
  <c r="F46" i="6"/>
  <c r="H46" i="6" s="1"/>
  <c r="E9" i="6"/>
  <c r="D32" i="6" s="1"/>
  <c r="C10" i="6"/>
  <c r="C31" i="6"/>
  <c r="C33" i="6" s="1"/>
  <c r="C34" i="6" s="1"/>
  <c r="B48" i="5"/>
  <c r="E5" i="5"/>
  <c r="E7" i="5" s="1"/>
  <c r="D30" i="5" s="1"/>
  <c r="D7" i="5"/>
  <c r="D10" i="5" s="1"/>
  <c r="D48" i="5"/>
  <c r="G48" i="5" s="1"/>
  <c r="I48" i="5" s="1"/>
  <c r="C10" i="5"/>
  <c r="D114" i="1"/>
  <c r="F73" i="1"/>
  <c r="F74" i="1" s="1"/>
  <c r="F76" i="1" s="1"/>
  <c r="E118" i="1" s="1"/>
  <c r="D93" i="1"/>
  <c r="E71" i="1"/>
  <c r="D71" i="1"/>
  <c r="G114" i="1"/>
  <c r="I114" i="1" s="1"/>
  <c r="E70" i="1"/>
  <c r="D94" i="1" s="1"/>
  <c r="C71" i="1"/>
  <c r="C93" i="1"/>
  <c r="C95" i="1" s="1"/>
  <c r="C96" i="1" s="1"/>
  <c r="E93" i="1"/>
  <c r="E95" i="1" s="1"/>
  <c r="E34" i="1"/>
  <c r="F10" i="1"/>
  <c r="E10" i="1"/>
  <c r="E12" i="1" s="1"/>
  <c r="E13" i="1" s="1"/>
  <c r="E15" i="1" s="1"/>
  <c r="D10" i="1"/>
  <c r="D12" i="1" s="1"/>
  <c r="D13" i="1" s="1"/>
  <c r="D15" i="1" s="1"/>
  <c r="C10" i="1"/>
  <c r="F12" i="1"/>
  <c r="F13" i="1" s="1"/>
  <c r="F15" i="1" s="1"/>
  <c r="E56" i="1" s="1"/>
  <c r="C12" i="1"/>
  <c r="C13" i="1" s="1"/>
  <c r="D55" i="9" l="1"/>
  <c r="G55" i="9" s="1"/>
  <c r="I55" i="9" s="1"/>
  <c r="E35" i="9"/>
  <c r="E12" i="9"/>
  <c r="E13" i="9" s="1"/>
  <c r="E15" i="9" s="1"/>
  <c r="E56" i="9" s="1"/>
  <c r="F172" i="8"/>
  <c r="F174" i="8" s="1"/>
  <c r="F210" i="8" s="1"/>
  <c r="F171" i="8"/>
  <c r="E209" i="8"/>
  <c r="H209" i="8" s="1"/>
  <c r="J209" i="8" s="1"/>
  <c r="F192" i="8"/>
  <c r="E210" i="8" s="1"/>
  <c r="E152" i="8"/>
  <c r="H152" i="8" s="1"/>
  <c r="J152" i="8" s="1"/>
  <c r="F132" i="8"/>
  <c r="F110" i="8"/>
  <c r="F112" i="8" s="1"/>
  <c r="F153" i="8" s="1"/>
  <c r="F109" i="8"/>
  <c r="E90" i="8"/>
  <c r="H90" i="8" s="1"/>
  <c r="J90" i="8" s="1"/>
  <c r="F70" i="8"/>
  <c r="D31" i="7"/>
  <c r="E10" i="7"/>
  <c r="D53" i="7"/>
  <c r="C12" i="7"/>
  <c r="C13" i="7" s="1"/>
  <c r="C15" i="7" s="1"/>
  <c r="E53" i="7" s="1"/>
  <c r="D12" i="7"/>
  <c r="D13" i="7" s="1"/>
  <c r="D15" i="7" s="1"/>
  <c r="E54" i="7" s="1"/>
  <c r="D33" i="7"/>
  <c r="D34" i="7" s="1"/>
  <c r="E10" i="6"/>
  <c r="E12" i="6" s="1"/>
  <c r="E13" i="6" s="1"/>
  <c r="E15" i="6" s="1"/>
  <c r="E49" i="6" s="1"/>
  <c r="D47" i="6"/>
  <c r="C12" i="6"/>
  <c r="C13" i="6" s="1"/>
  <c r="C15" i="6" s="1"/>
  <c r="E47" i="6" s="1"/>
  <c r="D12" i="6"/>
  <c r="D13" i="6" s="1"/>
  <c r="D15" i="6" s="1"/>
  <c r="E48" i="6" s="1"/>
  <c r="D33" i="6"/>
  <c r="D34" i="6" s="1"/>
  <c r="E9" i="5"/>
  <c r="D31" i="5" s="1"/>
  <c r="D32" i="5" s="1"/>
  <c r="C30" i="5"/>
  <c r="C32" i="5" s="1"/>
  <c r="C33" i="5" s="1"/>
  <c r="D49" i="5" s="1"/>
  <c r="C12" i="5"/>
  <c r="C13" i="5" s="1"/>
  <c r="C15" i="5" s="1"/>
  <c r="E49" i="5" s="1"/>
  <c r="D12" i="5"/>
  <c r="D13" i="5" s="1"/>
  <c r="D15" i="5" s="1"/>
  <c r="E50" i="5" s="1"/>
  <c r="D115" i="1"/>
  <c r="C73" i="1"/>
  <c r="C74" i="1" s="1"/>
  <c r="C76" i="1" s="1"/>
  <c r="E115" i="1" s="1"/>
  <c r="E74" i="1"/>
  <c r="E76" i="1" s="1"/>
  <c r="E117" i="1" s="1"/>
  <c r="E73" i="1"/>
  <c r="D74" i="1"/>
  <c r="D76" i="1" s="1"/>
  <c r="E116" i="1" s="1"/>
  <c r="D73" i="1"/>
  <c r="D95" i="1"/>
  <c r="D96" i="1" s="1"/>
  <c r="F34" i="1"/>
  <c r="D56" i="1" s="1"/>
  <c r="G56" i="1" s="1"/>
  <c r="I56" i="1" s="1"/>
  <c r="D55" i="1"/>
  <c r="G55" i="1" s="1"/>
  <c r="I55" i="1" s="1"/>
  <c r="D56" i="9" l="1"/>
  <c r="G56" i="9" s="1"/>
  <c r="I56" i="9" s="1"/>
  <c r="F35" i="9"/>
  <c r="D57" i="9" s="1"/>
  <c r="G57" i="9" s="1"/>
  <c r="I57" i="9" s="1"/>
  <c r="H210" i="8"/>
  <c r="J210" i="8" s="1"/>
  <c r="J211" i="8" s="1"/>
  <c r="E153" i="8"/>
  <c r="H153" i="8" s="1"/>
  <c r="J153" i="8" s="1"/>
  <c r="G132" i="8"/>
  <c r="E154" i="8" s="1"/>
  <c r="H154" i="8" s="1"/>
  <c r="J154" i="8" s="1"/>
  <c r="J155" i="8" s="1"/>
  <c r="E91" i="8"/>
  <c r="H91" i="8" s="1"/>
  <c r="J91" i="8" s="1"/>
  <c r="G70" i="8"/>
  <c r="E92" i="8" s="1"/>
  <c r="H92" i="8" s="1"/>
  <c r="J92" i="8" s="1"/>
  <c r="E12" i="7"/>
  <c r="E13" i="7" s="1"/>
  <c r="E15" i="7" s="1"/>
  <c r="E55" i="7" s="1"/>
  <c r="D54" i="7"/>
  <c r="G54" i="7" s="1"/>
  <c r="I54" i="7" s="1"/>
  <c r="E34" i="7"/>
  <c r="G53" i="7"/>
  <c r="I53" i="7" s="1"/>
  <c r="D48" i="6"/>
  <c r="F48" i="6" s="1"/>
  <c r="H48" i="6" s="1"/>
  <c r="E34" i="6"/>
  <c r="F47" i="6"/>
  <c r="H47" i="6" s="1"/>
  <c r="E10" i="5"/>
  <c r="E12" i="5" s="1"/>
  <c r="E13" i="5" s="1"/>
  <c r="E15" i="5" s="1"/>
  <c r="E51" i="5" s="1"/>
  <c r="D33" i="5"/>
  <c r="D50" i="5" s="1"/>
  <c r="G50" i="5" s="1"/>
  <c r="I50" i="5" s="1"/>
  <c r="G49" i="5"/>
  <c r="I49" i="5" s="1"/>
  <c r="D116" i="1"/>
  <c r="G116" i="1" s="1"/>
  <c r="I116" i="1" s="1"/>
  <c r="E96" i="1"/>
  <c r="G115" i="1"/>
  <c r="I115" i="1" s="1"/>
  <c r="I57" i="1"/>
  <c r="I58" i="9" l="1"/>
  <c r="J93" i="8"/>
  <c r="D55" i="7"/>
  <c r="G55" i="7" s="1"/>
  <c r="I55" i="7" s="1"/>
  <c r="F34" i="7"/>
  <c r="D56" i="7" s="1"/>
  <c r="G56" i="7" s="1"/>
  <c r="I56" i="7" s="1"/>
  <c r="D49" i="6"/>
  <c r="F49" i="6" s="1"/>
  <c r="H49" i="6" s="1"/>
  <c r="H50" i="6" s="1"/>
  <c r="E33" i="5"/>
  <c r="D51" i="5" s="1"/>
  <c r="G51" i="5" s="1"/>
  <c r="I51" i="5" s="1"/>
  <c r="I52" i="5" s="1"/>
  <c r="D117" i="1"/>
  <c r="G117" i="1" s="1"/>
  <c r="I117" i="1" s="1"/>
  <c r="F96" i="1"/>
  <c r="D118" i="1" s="1"/>
  <c r="G118" i="1" s="1"/>
  <c r="I118" i="1" s="1"/>
  <c r="I57" i="7" l="1"/>
  <c r="I119" i="1"/>
</calcChain>
</file>

<file path=xl/sharedStrings.xml><?xml version="1.0" encoding="utf-8"?>
<sst xmlns="http://schemas.openxmlformats.org/spreadsheetml/2006/main" count="702" uniqueCount="104">
  <si>
    <t>Annual operating Cashflows</t>
  </si>
  <si>
    <t>Year 0</t>
  </si>
  <si>
    <t>Year 1</t>
  </si>
  <si>
    <t>Year 2</t>
  </si>
  <si>
    <t>Year 3</t>
  </si>
  <si>
    <t>Year 4</t>
  </si>
  <si>
    <t>Units (A)</t>
  </si>
  <si>
    <t>Unit price (B)</t>
  </si>
  <si>
    <t>Unit production cost (D)</t>
  </si>
  <si>
    <t>Revenues (C=A×B)</t>
  </si>
  <si>
    <t>Total production cost (E=A×D)</t>
  </si>
  <si>
    <t>Sales production costs (F=C-E)</t>
  </si>
  <si>
    <t>Depreciation (G)</t>
  </si>
  <si>
    <t>Tax (H=(F-G)×21%)</t>
  </si>
  <si>
    <t>After tax operating cash flows (I=F-H)</t>
  </si>
  <si>
    <t>After tax effects (J)</t>
  </si>
  <si>
    <t>Total after tax operating cash flows (K=I+J)</t>
  </si>
  <si>
    <t>Notes</t>
  </si>
  <si>
    <t>Unit cost for year 2 and 3 increased by 2%</t>
  </si>
  <si>
    <t>Unit production cost increased by 3%</t>
  </si>
  <si>
    <t>Depreciation rates as per MACRS is 14.29%, 24.49%, 17.49%, 12.49% for year 1, 2, 3 and 4</t>
  </si>
  <si>
    <t>After tax effects increse was $35m annualy</t>
  </si>
  <si>
    <t>Opportunity Costs</t>
  </si>
  <si>
    <t>Opportunity Costs (45M × 0.79)</t>
  </si>
  <si>
    <t>Net Working capital cash flows</t>
  </si>
  <si>
    <t>Current asssets (18% of revenues)</t>
  </si>
  <si>
    <t>Current Liabilities (14% of production costs)</t>
  </si>
  <si>
    <t>Net working capital</t>
  </si>
  <si>
    <t>Incremental Net working cash flows</t>
  </si>
  <si>
    <t>Note: Market value of land 45M less tax at 21%</t>
  </si>
  <si>
    <t>Note: Reduction for the year 1, 2, and 3 are recovered in year 4</t>
  </si>
  <si>
    <t>Initial capital cashflows</t>
  </si>
  <si>
    <t>invoice price of machinery</t>
  </si>
  <si>
    <t>customization costs</t>
  </si>
  <si>
    <t>Initial cash outflow</t>
  </si>
  <si>
    <t>Terminal cash inflow</t>
  </si>
  <si>
    <t>save value of plant (52M ×  0.79)</t>
  </si>
  <si>
    <t>Note: sale value of the plant after tax is 52M × (1-.21)</t>
  </si>
  <si>
    <t>Total cashflows</t>
  </si>
  <si>
    <t>Initial</t>
  </si>
  <si>
    <t>Opportunity</t>
  </si>
  <si>
    <t>Incremental WC</t>
  </si>
  <si>
    <t xml:space="preserve">Operating </t>
  </si>
  <si>
    <t>Terminal</t>
  </si>
  <si>
    <t>Total</t>
  </si>
  <si>
    <t>PV factor</t>
  </si>
  <si>
    <t>Total cf ×  PV factor</t>
  </si>
  <si>
    <t>NPV</t>
  </si>
  <si>
    <t>Question A, Base Scenario</t>
  </si>
  <si>
    <t>Optimistic</t>
  </si>
  <si>
    <t>Pessimistic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</si>
  <si>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</si>
  <si>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</si>
  <si>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</si>
  <si>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</si>
  <si>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</si>
  <si>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</si>
  <si>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</si>
  <si>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 xml:space="preserve">salvage value (118750000*0.79) </t>
  </si>
  <si>
    <t>$F$6</t>
  </si>
  <si>
    <t>$I$57</t>
  </si>
  <si>
    <t>Created by Tom  on 11/22/2020
Modified by Tom  on 11/22/2020</t>
  </si>
  <si>
    <t>Both optimistic and pessimistic scenarios give a positive NPV hence accept the project</t>
  </si>
  <si>
    <t>Question C, Scenario</t>
  </si>
  <si>
    <t>Note: Unit price to be used is (0.6*700)+(0.18*745)+(0.22*650)</t>
  </si>
  <si>
    <t>Since Net Present Value is positive, base scenario is accepted</t>
  </si>
  <si>
    <t>Since Net Present Value is positive, probabilities scenario is accepted</t>
  </si>
  <si>
    <t>NPV is used rather than payback period since payback ignores the benefits occuring after the payback period</t>
  </si>
  <si>
    <t>=</t>
  </si>
  <si>
    <t>Depreciation is straight line basis</t>
  </si>
  <si>
    <t>Since NPV is negative, the project is acceptable</t>
  </si>
  <si>
    <t>Note: Market value of land 48M less tax at 21%</t>
  </si>
  <si>
    <t>Opportunity Costs (48M × 0.79)</t>
  </si>
  <si>
    <t>Depreciation is on straight line</t>
  </si>
  <si>
    <t>Since the NPV is negative, we reject the abadonment of the project</t>
  </si>
  <si>
    <t>Cost of Equity</t>
  </si>
  <si>
    <t>Beta</t>
  </si>
  <si>
    <t>Rf</t>
  </si>
  <si>
    <t>Rm</t>
  </si>
  <si>
    <t>Ke</t>
  </si>
  <si>
    <t>Cost of Debt</t>
  </si>
  <si>
    <t>Annual</t>
  </si>
  <si>
    <t>Bond Face Value</t>
  </si>
  <si>
    <t>Bond Price</t>
  </si>
  <si>
    <t>Number of Years</t>
  </si>
  <si>
    <t>Coupon Rate</t>
  </si>
  <si>
    <t>Coupon Payment</t>
  </si>
  <si>
    <t>Payment Periods per Year</t>
  </si>
  <si>
    <t>Coupon Paymet period</t>
  </si>
  <si>
    <t>Cost of Preference Shares</t>
  </si>
  <si>
    <t>DPS</t>
  </si>
  <si>
    <t>Current price</t>
  </si>
  <si>
    <t>WACC</t>
  </si>
  <si>
    <t>Weights</t>
  </si>
  <si>
    <t>% Weights</t>
  </si>
  <si>
    <t>Costs</t>
  </si>
  <si>
    <t>Type</t>
  </si>
  <si>
    <t>Equity</t>
  </si>
  <si>
    <t>Bond</t>
  </si>
  <si>
    <t>Prefference shares</t>
  </si>
  <si>
    <t>Question 2</t>
  </si>
  <si>
    <t>Question 3</t>
  </si>
  <si>
    <t>Question 4</t>
  </si>
  <si>
    <t>Question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</si>
</sst>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6" formatCode="_-* #,##0_-;\-* #,##0_-;_-* &quot;-&quot;??_-;_-@_-"/>
    <numFmt numFmtId="167" formatCode="0.0%"/>
    <numFmt numFmtId="169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0" xfId="0" applyFill="1" applyBorder="1" applyAlignment="1"/>
    <xf numFmtId="0" fontId="0" fillId="0" borderId="3" xfId="0" applyFill="1" applyBorder="1" applyAlignment="1"/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0" fillId="0" borderId="5" xfId="0" applyFill="1" applyBorder="1" applyAlignment="1"/>
    <xf numFmtId="0" fontId="5" fillId="3" borderId="0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0" fillId="4" borderId="0" xfId="0" applyFill="1" applyBorder="1" applyAlignment="1"/>
    <xf numFmtId="0" fontId="8" fillId="0" borderId="0" xfId="0" applyFont="1" applyFill="1" applyBorder="1" applyAlignment="1">
      <alignment vertical="top" wrapText="1"/>
    </xf>
    <xf numFmtId="0" fontId="0" fillId="0" borderId="0" xfId="0" applyBorder="1"/>
    <xf numFmtId="0" fontId="2" fillId="0" borderId="0" xfId="0" applyFont="1" applyBorder="1"/>
    <xf numFmtId="0" fontId="2" fillId="0" borderId="8" xfId="0" applyFont="1" applyBorder="1"/>
    <xf numFmtId="10" fontId="2" fillId="0" borderId="9" xfId="0" applyNumberFormat="1" applyFont="1" applyBorder="1"/>
    <xf numFmtId="0" fontId="0" fillId="0" borderId="0" xfId="0" applyFont="1"/>
    <xf numFmtId="0" fontId="0" fillId="0" borderId="1" xfId="0" applyFont="1" applyBorder="1"/>
    <xf numFmtId="9" fontId="0" fillId="0" borderId="1" xfId="0" applyNumberFormat="1" applyFont="1" applyBorder="1"/>
    <xf numFmtId="0" fontId="0" fillId="0" borderId="7" xfId="0" applyFont="1" applyBorder="1"/>
    <xf numFmtId="9" fontId="0" fillId="0" borderId="7" xfId="0" applyNumberFormat="1" applyFont="1" applyBorder="1"/>
    <xf numFmtId="0" fontId="0" fillId="5" borderId="1" xfId="0" applyFont="1" applyFill="1" applyBorder="1"/>
    <xf numFmtId="44" fontId="9" fillId="0" borderId="1" xfId="2" applyFont="1" applyFill="1" applyBorder="1"/>
    <xf numFmtId="166" fontId="9" fillId="0" borderId="1" xfId="1" applyNumberFormat="1" applyFont="1" applyFill="1" applyBorder="1"/>
    <xf numFmtId="167" fontId="9" fillId="0" borderId="1" xfId="3" applyNumberFormat="1" applyFont="1" applyFill="1" applyBorder="1"/>
    <xf numFmtId="44" fontId="10" fillId="0" borderId="1" xfId="2" applyFont="1" applyFill="1" applyBorder="1"/>
    <xf numFmtId="166" fontId="0" fillId="0" borderId="1" xfId="1" applyNumberFormat="1" applyFont="1" applyBorder="1"/>
    <xf numFmtId="10" fontId="0" fillId="0" borderId="1" xfId="0" applyNumberFormat="1" applyFont="1" applyBorder="1"/>
    <xf numFmtId="0" fontId="0" fillId="0" borderId="0" xfId="0" applyFont="1" applyFill="1" applyBorder="1"/>
    <xf numFmtId="169" fontId="0" fillId="0" borderId="1" xfId="2" applyNumberFormat="1" applyFont="1" applyBorder="1"/>
    <xf numFmtId="0" fontId="0" fillId="0" borderId="1" xfId="0" applyFont="1" applyFill="1" applyBorder="1"/>
    <xf numFmtId="0" fontId="0" fillId="0" borderId="7" xfId="0" applyFont="1" applyFill="1" applyBorder="1"/>
    <xf numFmtId="169" fontId="0" fillId="0" borderId="7" xfId="2" applyNumberFormat="1" applyFont="1" applyBorder="1"/>
    <xf numFmtId="0" fontId="2" fillId="0" borderId="8" xfId="0" applyFont="1" applyFill="1" applyBorder="1"/>
    <xf numFmtId="10" fontId="2" fillId="0" borderId="9" xfId="3" applyNumberFormat="1" applyFont="1" applyBorder="1"/>
    <xf numFmtId="10" fontId="0" fillId="0" borderId="7" xfId="0" applyNumberFormat="1" applyFont="1" applyBorder="1"/>
    <xf numFmtId="10" fontId="0" fillId="0" borderId="1" xfId="3" applyNumberFormat="1" applyFont="1" applyBorder="1"/>
    <xf numFmtId="0" fontId="0" fillId="0" borderId="10" xfId="0" applyFont="1" applyBorder="1"/>
    <xf numFmtId="10" fontId="2" fillId="0" borderId="6" xfId="0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m/Downloads/00050-Cost-of-Debt-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Cost of Debt"/>
      <sheetName val="--&gt;Additional Information"/>
    </sheetNames>
    <sheetDataSet>
      <sheetData sheetId="0"/>
      <sheetData sheetId="1"/>
      <sheetData sheetId="2">
        <row r="6">
          <cell r="A6" t="str">
            <v>Annual</v>
          </cell>
          <cell r="B6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C4B24-AD21-4A80-86F9-4780A87DA589}">
  <sheetPr codeName="Sheet3"/>
  <dimension ref="A1:I176"/>
  <sheetViews>
    <sheetView tabSelected="1" workbookViewId="0">
      <selection activeCell="A62" sqref="A62:I122"/>
    </sheetView>
  </sheetViews>
  <sheetFormatPr defaultRowHeight="15" x14ac:dyDescent="0.25"/>
  <cols>
    <col min="1" max="1" width="39.140625" bestFit="1" customWidth="1"/>
    <col min="2" max="2" width="10.7109375" bestFit="1" customWidth="1"/>
    <col min="3" max="6" width="11" bestFit="1" customWidth="1"/>
    <col min="7" max="7" width="10.7109375" bestFit="1" customWidth="1"/>
    <col min="9" max="9" width="18" bestFit="1" customWidth="1"/>
  </cols>
  <sheetData>
    <row r="1" spans="1:6" x14ac:dyDescent="0.25">
      <c r="A1" t="s">
        <v>48</v>
      </c>
    </row>
    <row r="3" spans="1:6" x14ac:dyDescent="0.25">
      <c r="A3" s="1" t="s">
        <v>0</v>
      </c>
    </row>
    <row r="4" spans="1:6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25">
      <c r="A5" s="2" t="s">
        <v>6</v>
      </c>
      <c r="B5" s="2"/>
      <c r="C5" s="2">
        <v>6000000</v>
      </c>
      <c r="D5" s="2">
        <f>C5*1.05</f>
        <v>6300000</v>
      </c>
      <c r="E5" s="2">
        <f>D5*1.1</f>
        <v>6930000.0000000009</v>
      </c>
      <c r="F5" s="2">
        <v>3500000</v>
      </c>
    </row>
    <row r="6" spans="1:6" x14ac:dyDescent="0.25">
      <c r="A6" s="2" t="s">
        <v>7</v>
      </c>
      <c r="B6" s="2"/>
      <c r="C6" s="2">
        <v>895</v>
      </c>
      <c r="D6" s="2">
        <f>C6*1.02</f>
        <v>912.9</v>
      </c>
      <c r="E6" s="2">
        <f>D6*1.02</f>
        <v>931.15800000000002</v>
      </c>
      <c r="F6" s="2">
        <v>700</v>
      </c>
    </row>
    <row r="7" spans="1:6" x14ac:dyDescent="0.25">
      <c r="A7" s="2" t="s">
        <v>9</v>
      </c>
      <c r="B7" s="2"/>
      <c r="C7" s="2">
        <f>C5*C6</f>
        <v>5370000000</v>
      </c>
      <c r="D7" s="2">
        <f>D5*D6</f>
        <v>5751270000</v>
      </c>
      <c r="E7" s="2">
        <f t="shared" ref="E7:F7" si="0">E5*E6</f>
        <v>6452924940.000001</v>
      </c>
      <c r="F7" s="2">
        <f t="shared" si="0"/>
        <v>2450000000</v>
      </c>
    </row>
    <row r="8" spans="1:6" x14ac:dyDescent="0.25">
      <c r="A8" s="2" t="s">
        <v>8</v>
      </c>
      <c r="B8" s="2"/>
      <c r="C8" s="2">
        <v>800</v>
      </c>
      <c r="D8" s="2">
        <f>C8*1.03</f>
        <v>824</v>
      </c>
      <c r="E8" s="2">
        <f t="shared" ref="E8:F8" si="1">D8*1.03</f>
        <v>848.72</v>
      </c>
      <c r="F8" s="2">
        <f t="shared" si="1"/>
        <v>874.1816</v>
      </c>
    </row>
    <row r="9" spans="1:6" x14ac:dyDescent="0.25">
      <c r="A9" s="2" t="s">
        <v>10</v>
      </c>
      <c r="B9" s="2"/>
      <c r="C9" s="2">
        <f>C5*C8</f>
        <v>4800000000</v>
      </c>
      <c r="D9" s="2">
        <f t="shared" ref="D9:F9" si="2">D5*D8</f>
        <v>5191200000</v>
      </c>
      <c r="E9" s="2">
        <f t="shared" si="2"/>
        <v>5881629600.000001</v>
      </c>
      <c r="F9" s="2">
        <f t="shared" si="2"/>
        <v>3059635600</v>
      </c>
    </row>
    <row r="10" spans="1:6" x14ac:dyDescent="0.25">
      <c r="A10" s="2" t="s">
        <v>11</v>
      </c>
      <c r="B10" s="2"/>
      <c r="C10" s="2">
        <f>C7-C9</f>
        <v>570000000</v>
      </c>
      <c r="D10" s="2">
        <f t="shared" ref="D10" si="3">D7-D9</f>
        <v>560070000</v>
      </c>
      <c r="E10" s="2">
        <f>E7-E9</f>
        <v>571295340</v>
      </c>
      <c r="F10" s="2">
        <f>F7-F9</f>
        <v>-609635600</v>
      </c>
    </row>
    <row r="11" spans="1:6" x14ac:dyDescent="0.25">
      <c r="A11" s="2" t="s">
        <v>12</v>
      </c>
      <c r="B11" s="2"/>
      <c r="C11" s="2">
        <f>0.1429*525000000</f>
        <v>75022500</v>
      </c>
      <c r="D11" s="2">
        <f>0.2449*525000000</f>
        <v>128572500</v>
      </c>
      <c r="E11" s="2">
        <f>0.1749*525000000</f>
        <v>91822500</v>
      </c>
      <c r="F11" s="2">
        <f>0.1249*525000000</f>
        <v>65572500</v>
      </c>
    </row>
    <row r="12" spans="1:6" x14ac:dyDescent="0.25">
      <c r="A12" s="2" t="s">
        <v>13</v>
      </c>
      <c r="B12" s="2"/>
      <c r="C12" s="2">
        <f>(C10-C11)*0.21</f>
        <v>103945275</v>
      </c>
      <c r="D12" s="2">
        <f t="shared" ref="D12:F12" si="4">(D10-D11)*0.21</f>
        <v>90614475</v>
      </c>
      <c r="E12" s="2">
        <f t="shared" si="4"/>
        <v>100689296.39999999</v>
      </c>
      <c r="F12" s="2">
        <f t="shared" si="4"/>
        <v>-141793701</v>
      </c>
    </row>
    <row r="13" spans="1:6" x14ac:dyDescent="0.25">
      <c r="A13" s="2" t="s">
        <v>14</v>
      </c>
      <c r="B13" s="2"/>
      <c r="C13" s="2">
        <f>C10-C12</f>
        <v>466054725</v>
      </c>
      <c r="D13" s="2">
        <f t="shared" ref="D13:F13" si="5">D10-D12</f>
        <v>469455525</v>
      </c>
      <c r="E13" s="2">
        <f t="shared" si="5"/>
        <v>470606043.60000002</v>
      </c>
      <c r="F13" s="2">
        <f t="shared" si="5"/>
        <v>-467841899</v>
      </c>
    </row>
    <row r="14" spans="1:6" x14ac:dyDescent="0.25">
      <c r="A14" s="2" t="s">
        <v>15</v>
      </c>
      <c r="B14" s="2"/>
      <c r="C14" s="2">
        <v>35000000</v>
      </c>
      <c r="D14" s="2">
        <v>35000000</v>
      </c>
      <c r="E14" s="2">
        <v>35000000</v>
      </c>
      <c r="F14" s="2">
        <v>20000000</v>
      </c>
    </row>
    <row r="15" spans="1:6" x14ac:dyDescent="0.25">
      <c r="A15" s="2" t="s">
        <v>16</v>
      </c>
      <c r="B15" s="2"/>
      <c r="C15" s="2">
        <f>C13+C14</f>
        <v>501054725</v>
      </c>
      <c r="D15" s="2">
        <f t="shared" ref="D15:F15" si="6">D13+D14</f>
        <v>504455525</v>
      </c>
      <c r="E15" s="2">
        <f t="shared" si="6"/>
        <v>505606043.60000002</v>
      </c>
      <c r="F15" s="2">
        <f t="shared" si="6"/>
        <v>-447841899</v>
      </c>
    </row>
    <row r="17" spans="1:6" x14ac:dyDescent="0.25">
      <c r="A17" t="s">
        <v>17</v>
      </c>
    </row>
    <row r="18" spans="1:6" x14ac:dyDescent="0.25">
      <c r="A18" t="s">
        <v>18</v>
      </c>
    </row>
    <row r="19" spans="1:6" x14ac:dyDescent="0.25">
      <c r="A19" t="s">
        <v>19</v>
      </c>
    </row>
    <row r="20" spans="1:6" x14ac:dyDescent="0.25">
      <c r="A20" t="s">
        <v>20</v>
      </c>
    </row>
    <row r="21" spans="1:6" x14ac:dyDescent="0.25">
      <c r="A21" t="s">
        <v>21</v>
      </c>
    </row>
    <row r="23" spans="1:6" x14ac:dyDescent="0.25">
      <c r="A23" s="1" t="s">
        <v>22</v>
      </c>
    </row>
    <row r="24" spans="1:6" x14ac:dyDescent="0.25">
      <c r="A24" s="2"/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</row>
    <row r="25" spans="1:6" x14ac:dyDescent="0.25">
      <c r="A25" s="2" t="s">
        <v>23</v>
      </c>
      <c r="B25" s="2">
        <f>45000000*0.79</f>
        <v>35550000</v>
      </c>
      <c r="C25" s="2"/>
      <c r="D25" s="2"/>
      <c r="E25" s="2"/>
      <c r="F25" s="2"/>
    </row>
    <row r="27" spans="1:6" x14ac:dyDescent="0.25">
      <c r="A27" t="s">
        <v>29</v>
      </c>
    </row>
    <row r="29" spans="1:6" x14ac:dyDescent="0.25">
      <c r="A29" s="1" t="s">
        <v>24</v>
      </c>
    </row>
    <row r="30" spans="1:6" x14ac:dyDescent="0.25">
      <c r="A30" s="2"/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</row>
    <row r="31" spans="1:6" x14ac:dyDescent="0.25">
      <c r="A31" s="2" t="s">
        <v>25</v>
      </c>
      <c r="B31" s="2">
        <f>0.18*C7</f>
        <v>966600000</v>
      </c>
      <c r="C31" s="2">
        <f t="shared" ref="C31:F31" si="7">0.18*D7</f>
        <v>1035228600</v>
      </c>
      <c r="D31" s="2">
        <f t="shared" si="7"/>
        <v>1161526489.2</v>
      </c>
      <c r="E31" s="2">
        <f t="shared" si="7"/>
        <v>441000000</v>
      </c>
      <c r="F31" s="2">
        <f t="shared" si="7"/>
        <v>0</v>
      </c>
    </row>
    <row r="32" spans="1:6" x14ac:dyDescent="0.25">
      <c r="A32" s="2" t="s">
        <v>26</v>
      </c>
      <c r="B32" s="2">
        <f>0.14*C9</f>
        <v>672000000.00000012</v>
      </c>
      <c r="C32" s="2">
        <f t="shared" ref="C32:F32" si="8">0.14*D9</f>
        <v>726768000.00000012</v>
      </c>
      <c r="D32" s="2">
        <f t="shared" si="8"/>
        <v>823428144.00000024</v>
      </c>
      <c r="E32" s="2">
        <f t="shared" si="8"/>
        <v>428348984.00000006</v>
      </c>
      <c r="F32" s="2">
        <f t="shared" si="8"/>
        <v>0</v>
      </c>
    </row>
    <row r="33" spans="1:6" x14ac:dyDescent="0.25">
      <c r="A33" s="2" t="s">
        <v>27</v>
      </c>
      <c r="B33" s="2">
        <f>B31-B32</f>
        <v>294599999.99999988</v>
      </c>
      <c r="C33" s="2">
        <f t="shared" ref="C33:F33" si="9">C31-C32</f>
        <v>308460599.99999988</v>
      </c>
      <c r="D33" s="2">
        <f t="shared" si="9"/>
        <v>338098345.19999981</v>
      </c>
      <c r="E33" s="2">
        <f t="shared" si="9"/>
        <v>12651015.99999994</v>
      </c>
      <c r="F33" s="2">
        <f t="shared" si="9"/>
        <v>0</v>
      </c>
    </row>
    <row r="34" spans="1:6" x14ac:dyDescent="0.25">
      <c r="A34" s="2" t="s">
        <v>28</v>
      </c>
      <c r="B34" s="2">
        <f>-B33</f>
        <v>-294599999.99999988</v>
      </c>
      <c r="C34" s="2">
        <f>B34+C33</f>
        <v>13860600</v>
      </c>
      <c r="D34" s="2">
        <f t="shared" ref="D34:F34" si="10">C34+D33</f>
        <v>351958945.19999981</v>
      </c>
      <c r="E34" s="2">
        <f t="shared" si="10"/>
        <v>364609961.19999975</v>
      </c>
      <c r="F34" s="2">
        <f t="shared" si="10"/>
        <v>364609961.19999975</v>
      </c>
    </row>
    <row r="36" spans="1:6" x14ac:dyDescent="0.25">
      <c r="A36" t="s">
        <v>30</v>
      </c>
    </row>
    <row r="38" spans="1:6" x14ac:dyDescent="0.25">
      <c r="A38" s="1" t="s">
        <v>31</v>
      </c>
    </row>
    <row r="39" spans="1:6" x14ac:dyDescent="0.25">
      <c r="A39" s="2"/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</row>
    <row r="40" spans="1:6" x14ac:dyDescent="0.25">
      <c r="A40" s="2" t="s">
        <v>32</v>
      </c>
      <c r="B40" s="2">
        <f>-475000000</f>
        <v>-475000000</v>
      </c>
      <c r="C40" s="2"/>
      <c r="D40" s="2"/>
      <c r="E40" s="2"/>
      <c r="F40" s="2"/>
    </row>
    <row r="41" spans="1:6" x14ac:dyDescent="0.25">
      <c r="A41" s="2" t="s">
        <v>33</v>
      </c>
      <c r="B41" s="2">
        <f>-50000000</f>
        <v>-50000000</v>
      </c>
      <c r="C41" s="2"/>
      <c r="D41" s="2"/>
      <c r="E41" s="2"/>
      <c r="F41" s="2"/>
    </row>
    <row r="42" spans="1:6" x14ac:dyDescent="0.25">
      <c r="A42" s="2" t="s">
        <v>34</v>
      </c>
      <c r="B42" s="2">
        <f>B40+B41</f>
        <v>-525000000</v>
      </c>
      <c r="C42" s="2"/>
      <c r="D42" s="2"/>
      <c r="E42" s="2"/>
      <c r="F42" s="2"/>
    </row>
    <row r="44" spans="1:6" x14ac:dyDescent="0.25">
      <c r="A44" s="1" t="s">
        <v>35</v>
      </c>
    </row>
    <row r="45" spans="1:6" x14ac:dyDescent="0.25">
      <c r="A45" s="2"/>
      <c r="B45" s="2" t="s">
        <v>1</v>
      </c>
      <c r="C45" s="2" t="s">
        <v>2</v>
      </c>
      <c r="D45" s="2" t="s">
        <v>3</v>
      </c>
      <c r="E45" s="2" t="s">
        <v>4</v>
      </c>
      <c r="F45" s="2" t="s">
        <v>5</v>
      </c>
    </row>
    <row r="46" spans="1:6" x14ac:dyDescent="0.25">
      <c r="A46" s="2" t="s">
        <v>58</v>
      </c>
      <c r="B46" s="2"/>
      <c r="C46" s="2"/>
      <c r="D46" s="2"/>
      <c r="E46" s="2"/>
      <c r="F46" s="2">
        <f>(0.25*475000000)*0.79</f>
        <v>93812500</v>
      </c>
    </row>
    <row r="47" spans="1:6" x14ac:dyDescent="0.25">
      <c r="A47" s="2" t="s">
        <v>36</v>
      </c>
      <c r="B47" s="2"/>
      <c r="C47" s="2"/>
      <c r="D47" s="2"/>
      <c r="E47" s="2"/>
      <c r="F47" s="2">
        <f>52000000*0.79</f>
        <v>41080000</v>
      </c>
    </row>
    <row r="49" spans="1:9" x14ac:dyDescent="0.25">
      <c r="A49" t="s">
        <v>37</v>
      </c>
    </row>
    <row r="51" spans="1:9" x14ac:dyDescent="0.25">
      <c r="A51" s="3" t="s">
        <v>38</v>
      </c>
      <c r="B51" s="2" t="s">
        <v>39</v>
      </c>
      <c r="C51" s="2" t="s">
        <v>40</v>
      </c>
      <c r="D51" s="2" t="s">
        <v>41</v>
      </c>
      <c r="E51" s="2" t="s">
        <v>42</v>
      </c>
      <c r="F51" s="2" t="s">
        <v>43</v>
      </c>
      <c r="G51" s="2" t="s">
        <v>44</v>
      </c>
      <c r="H51" s="2" t="s">
        <v>45</v>
      </c>
      <c r="I51" s="2" t="s">
        <v>46</v>
      </c>
    </row>
    <row r="52" spans="1:9" x14ac:dyDescent="0.25">
      <c r="A52" s="2" t="s">
        <v>1</v>
      </c>
      <c r="B52" s="2">
        <f>B42</f>
        <v>-525000000</v>
      </c>
      <c r="C52" s="2">
        <f>B25</f>
        <v>35550000</v>
      </c>
      <c r="D52" s="2">
        <f>B34</f>
        <v>-294599999.99999988</v>
      </c>
      <c r="E52" s="2">
        <v>0</v>
      </c>
      <c r="F52" s="2"/>
      <c r="G52" s="2">
        <f>B52+C52+D52+E52</f>
        <v>-784049999.99999988</v>
      </c>
      <c r="H52" s="2">
        <f>1/(1.13^0)</f>
        <v>1</v>
      </c>
      <c r="I52" s="2">
        <f>G52*H52</f>
        <v>-784049999.99999988</v>
      </c>
    </row>
    <row r="53" spans="1:9" x14ac:dyDescent="0.25">
      <c r="A53" s="2" t="s">
        <v>2</v>
      </c>
      <c r="B53" s="2"/>
      <c r="C53" s="2"/>
      <c r="D53" s="2">
        <f>C34</f>
        <v>13860600</v>
      </c>
      <c r="E53" s="2">
        <f>C15</f>
        <v>501054725</v>
      </c>
      <c r="F53" s="2"/>
      <c r="G53" s="2">
        <f t="shared" ref="G53:G55" si="11">B53+C53+D53+E53</f>
        <v>514915325</v>
      </c>
      <c r="H53" s="2">
        <f>1/(1.13^1)</f>
        <v>0.88495575221238942</v>
      </c>
      <c r="I53" s="2">
        <f t="shared" ref="I53:I56" si="12">G53*H53</f>
        <v>455677278.76106197</v>
      </c>
    </row>
    <row r="54" spans="1:9" x14ac:dyDescent="0.25">
      <c r="A54" s="2" t="s">
        <v>3</v>
      </c>
      <c r="B54" s="2"/>
      <c r="C54" s="2"/>
      <c r="D54" s="2">
        <f>D34</f>
        <v>351958945.19999981</v>
      </c>
      <c r="E54" s="2">
        <f>D15</f>
        <v>504455525</v>
      </c>
      <c r="F54" s="2"/>
      <c r="G54" s="2">
        <f t="shared" si="11"/>
        <v>856414470.19999981</v>
      </c>
      <c r="H54" s="2">
        <f>1/(1.13^2)</f>
        <v>0.78314668337379612</v>
      </c>
      <c r="I54" s="2">
        <f t="shared" si="12"/>
        <v>670698151.93045664</v>
      </c>
    </row>
    <row r="55" spans="1:9" x14ac:dyDescent="0.25">
      <c r="A55" s="2" t="s">
        <v>4</v>
      </c>
      <c r="B55" s="2"/>
      <c r="C55" s="2"/>
      <c r="D55" s="2">
        <f>E34</f>
        <v>364609961.19999975</v>
      </c>
      <c r="E55" s="2">
        <f>E15</f>
        <v>505606043.60000002</v>
      </c>
      <c r="F55" s="2"/>
      <c r="G55" s="2">
        <f t="shared" si="11"/>
        <v>870216004.79999971</v>
      </c>
      <c r="H55" s="2">
        <f>1/(1.13^3)</f>
        <v>0.69305016227769578</v>
      </c>
      <c r="I55" s="2">
        <f t="shared" si="12"/>
        <v>603103343.34328794</v>
      </c>
    </row>
    <row r="56" spans="1:9" x14ac:dyDescent="0.25">
      <c r="A56" s="2" t="s">
        <v>5</v>
      </c>
      <c r="B56" s="2"/>
      <c r="C56" s="2"/>
      <c r="D56" s="2">
        <f>F34</f>
        <v>364609961.19999975</v>
      </c>
      <c r="E56" s="2">
        <f>F15</f>
        <v>-447841899</v>
      </c>
      <c r="F56" s="2">
        <f>F47+F46</f>
        <v>134892500</v>
      </c>
      <c r="G56" s="2">
        <f>B56+C56+D56+E56</f>
        <v>-83231937.80000025</v>
      </c>
      <c r="H56" s="2">
        <f>1/(1.13^4)</f>
        <v>0.61331872767937679</v>
      </c>
      <c r="I56" s="2">
        <f t="shared" si="12"/>
        <v>-51047706.193785183</v>
      </c>
    </row>
    <row r="57" spans="1:9" x14ac:dyDescent="0.25">
      <c r="A57" s="2"/>
      <c r="B57" s="2"/>
      <c r="C57" s="2"/>
      <c r="D57" s="2"/>
      <c r="E57" s="2"/>
      <c r="F57" s="2"/>
      <c r="G57" s="2"/>
      <c r="H57" s="3" t="s">
        <v>47</v>
      </c>
      <c r="I57" s="3">
        <f>I52+I53+I54+I55+I56</f>
        <v>894381067.84102154</v>
      </c>
    </row>
    <row r="59" spans="1:9" x14ac:dyDescent="0.25">
      <c r="A59" s="1" t="s">
        <v>65</v>
      </c>
    </row>
    <row r="60" spans="1:9" x14ac:dyDescent="0.25">
      <c r="A60" s="17" t="s">
        <v>67</v>
      </c>
    </row>
    <row r="61" spans="1:9" x14ac:dyDescent="0.25">
      <c r="A61" s="16"/>
    </row>
    <row r="62" spans="1:9" x14ac:dyDescent="0.25">
      <c r="A62" t="s">
        <v>63</v>
      </c>
    </row>
    <row r="64" spans="1:9" x14ac:dyDescent="0.25">
      <c r="A64" s="1" t="s">
        <v>0</v>
      </c>
    </row>
    <row r="65" spans="1:6" x14ac:dyDescent="0.25">
      <c r="A65" s="2"/>
      <c r="B65" s="2" t="s">
        <v>1</v>
      </c>
      <c r="C65" s="2" t="s">
        <v>2</v>
      </c>
      <c r="D65" s="2" t="s">
        <v>3</v>
      </c>
      <c r="E65" s="2" t="s">
        <v>4</v>
      </c>
      <c r="F65" s="2" t="s">
        <v>5</v>
      </c>
    </row>
    <row r="66" spans="1:6" x14ac:dyDescent="0.25">
      <c r="A66" s="2" t="s">
        <v>6</v>
      </c>
      <c r="B66" s="2"/>
      <c r="C66" s="2">
        <v>6000000</v>
      </c>
      <c r="D66" s="2">
        <f>C66*1.05</f>
        <v>6300000</v>
      </c>
      <c r="E66" s="2">
        <f>D66*1.1</f>
        <v>6930000.0000000009</v>
      </c>
      <c r="F66" s="2">
        <v>3500000</v>
      </c>
    </row>
    <row r="67" spans="1:6" x14ac:dyDescent="0.25">
      <c r="A67" s="2" t="s">
        <v>7</v>
      </c>
      <c r="B67" s="2"/>
      <c r="C67" s="2">
        <v>895</v>
      </c>
      <c r="D67" s="2">
        <f>C67*1.02</f>
        <v>912.9</v>
      </c>
      <c r="E67" s="2">
        <f>D67*1.02</f>
        <v>931.15800000000002</v>
      </c>
      <c r="F67" s="2">
        <f xml:space="preserve"> (0.6*700)+(0.18*745)+(0.22*650)</f>
        <v>697.1</v>
      </c>
    </row>
    <row r="68" spans="1:6" x14ac:dyDescent="0.25">
      <c r="A68" s="2" t="s">
        <v>9</v>
      </c>
      <c r="B68" s="2"/>
      <c r="C68" s="2">
        <f>C66*C67</f>
        <v>5370000000</v>
      </c>
      <c r="D68" s="2">
        <f>D66*D67</f>
        <v>5751270000</v>
      </c>
      <c r="E68" s="2">
        <f t="shared" ref="E68" si="13">E66*E67</f>
        <v>6452924940.000001</v>
      </c>
      <c r="F68" s="2">
        <f t="shared" ref="F68" si="14">F66*F67</f>
        <v>2439850000</v>
      </c>
    </row>
    <row r="69" spans="1:6" x14ac:dyDescent="0.25">
      <c r="A69" s="2" t="s">
        <v>8</v>
      </c>
      <c r="B69" s="2"/>
      <c r="C69" s="2">
        <v>800</v>
      </c>
      <c r="D69" s="2">
        <f>C69*1.03</f>
        <v>824</v>
      </c>
      <c r="E69" s="2">
        <f t="shared" ref="E69:F69" si="15">D69*1.03</f>
        <v>848.72</v>
      </c>
      <c r="F69" s="2">
        <f t="shared" si="15"/>
        <v>874.1816</v>
      </c>
    </row>
    <row r="70" spans="1:6" x14ac:dyDescent="0.25">
      <c r="A70" s="2" t="s">
        <v>10</v>
      </c>
      <c r="B70" s="2"/>
      <c r="C70" s="2">
        <f>C66*C69</f>
        <v>4800000000</v>
      </c>
      <c r="D70" s="2">
        <f t="shared" ref="D70" si="16">D66*D69</f>
        <v>5191200000</v>
      </c>
      <c r="E70" s="2">
        <f t="shared" ref="E70" si="17">E66*E69</f>
        <v>5881629600.000001</v>
      </c>
      <c r="F70" s="2">
        <f t="shared" ref="F70" si="18">F66*F69</f>
        <v>3059635600</v>
      </c>
    </row>
    <row r="71" spans="1:6" x14ac:dyDescent="0.25">
      <c r="A71" s="2" t="s">
        <v>11</v>
      </c>
      <c r="B71" s="2"/>
      <c r="C71" s="2">
        <f>C68-C70</f>
        <v>570000000</v>
      </c>
      <c r="D71" s="2">
        <f t="shared" ref="D71" si="19">D68-D70</f>
        <v>560070000</v>
      </c>
      <c r="E71" s="2">
        <f>E68-E70</f>
        <v>571295340</v>
      </c>
      <c r="F71" s="2">
        <f>F68-F70</f>
        <v>-619785600</v>
      </c>
    </row>
    <row r="72" spans="1:6" x14ac:dyDescent="0.25">
      <c r="A72" s="2" t="s">
        <v>12</v>
      </c>
      <c r="B72" s="2"/>
      <c r="C72" s="2">
        <f>0.1429*525000000</f>
        <v>75022500</v>
      </c>
      <c r="D72" s="2">
        <f>0.2449*525000000</f>
        <v>128572500</v>
      </c>
      <c r="E72" s="2">
        <f>0.1749*525000000</f>
        <v>91822500</v>
      </c>
      <c r="F72" s="2">
        <f>0.1249*525000000</f>
        <v>65572500</v>
      </c>
    </row>
    <row r="73" spans="1:6" x14ac:dyDescent="0.25">
      <c r="A73" s="2" t="s">
        <v>13</v>
      </c>
      <c r="B73" s="2"/>
      <c r="C73" s="2">
        <f>(C71-C72)*0.21</f>
        <v>103945275</v>
      </c>
      <c r="D73" s="2">
        <f t="shared" ref="D73" si="20">(D71-D72)*0.21</f>
        <v>90614475</v>
      </c>
      <c r="E73" s="2">
        <f t="shared" ref="E73" si="21">(E71-E72)*0.21</f>
        <v>100689296.39999999</v>
      </c>
      <c r="F73" s="2">
        <f t="shared" ref="F73" si="22">(F71-F72)*0.21</f>
        <v>-143925201</v>
      </c>
    </row>
    <row r="74" spans="1:6" x14ac:dyDescent="0.25">
      <c r="A74" s="2" t="s">
        <v>14</v>
      </c>
      <c r="B74" s="2"/>
      <c r="C74" s="2">
        <f>C71-C73</f>
        <v>466054725</v>
      </c>
      <c r="D74" s="2">
        <f t="shared" ref="D74" si="23">D71-D73</f>
        <v>469455525</v>
      </c>
      <c r="E74" s="2">
        <f t="shared" ref="E74" si="24">E71-E73</f>
        <v>470606043.60000002</v>
      </c>
      <c r="F74" s="2">
        <f t="shared" ref="F74" si="25">F71-F73</f>
        <v>-475860399</v>
      </c>
    </row>
    <row r="75" spans="1:6" x14ac:dyDescent="0.25">
      <c r="A75" s="2" t="s">
        <v>15</v>
      </c>
      <c r="B75" s="2"/>
      <c r="C75" s="2">
        <v>35000000</v>
      </c>
      <c r="D75" s="2">
        <v>35000000</v>
      </c>
      <c r="E75" s="2">
        <v>35000000</v>
      </c>
      <c r="F75" s="2">
        <v>20000000</v>
      </c>
    </row>
    <row r="76" spans="1:6" x14ac:dyDescent="0.25">
      <c r="A76" s="2" t="s">
        <v>16</v>
      </c>
      <c r="B76" s="2"/>
      <c r="C76" s="2">
        <f>C74+C75</f>
        <v>501054725</v>
      </c>
      <c r="D76" s="2">
        <f t="shared" ref="D76" si="26">D74+D75</f>
        <v>504455525</v>
      </c>
      <c r="E76" s="2">
        <f t="shared" ref="E76" si="27">E74+E75</f>
        <v>505606043.60000002</v>
      </c>
      <c r="F76" s="2">
        <f t="shared" ref="F76" si="28">F74+F75</f>
        <v>-455860399</v>
      </c>
    </row>
    <row r="78" spans="1:6" x14ac:dyDescent="0.25">
      <c r="A78" s="1" t="s">
        <v>64</v>
      </c>
    </row>
    <row r="79" spans="1:6" x14ac:dyDescent="0.25">
      <c r="A79" t="s">
        <v>17</v>
      </c>
    </row>
    <row r="80" spans="1:6" x14ac:dyDescent="0.25">
      <c r="A80" t="s">
        <v>18</v>
      </c>
    </row>
    <row r="81" spans="1:6" x14ac:dyDescent="0.25">
      <c r="A81" t="s">
        <v>19</v>
      </c>
    </row>
    <row r="82" spans="1:6" x14ac:dyDescent="0.25">
      <c r="A82" t="s">
        <v>20</v>
      </c>
    </row>
    <row r="83" spans="1:6" x14ac:dyDescent="0.25">
      <c r="A83" t="s">
        <v>21</v>
      </c>
    </row>
    <row r="85" spans="1:6" x14ac:dyDescent="0.25">
      <c r="A85" s="1" t="s">
        <v>22</v>
      </c>
    </row>
    <row r="86" spans="1:6" x14ac:dyDescent="0.25">
      <c r="A86" s="2"/>
      <c r="B86" s="2" t="s">
        <v>1</v>
      </c>
      <c r="C86" s="2" t="s">
        <v>2</v>
      </c>
      <c r="D86" s="2" t="s">
        <v>3</v>
      </c>
      <c r="E86" s="2" t="s">
        <v>4</v>
      </c>
      <c r="F86" s="2" t="s">
        <v>5</v>
      </c>
    </row>
    <row r="87" spans="1:6" x14ac:dyDescent="0.25">
      <c r="A87" s="2" t="s">
        <v>23</v>
      </c>
      <c r="B87" s="2">
        <f>45000000*0.79</f>
        <v>35550000</v>
      </c>
      <c r="C87" s="2"/>
      <c r="D87" s="2"/>
      <c r="E87" s="2"/>
      <c r="F87" s="2"/>
    </row>
    <row r="89" spans="1:6" x14ac:dyDescent="0.25">
      <c r="A89" t="s">
        <v>29</v>
      </c>
    </row>
    <row r="91" spans="1:6" x14ac:dyDescent="0.25">
      <c r="A91" s="1" t="s">
        <v>24</v>
      </c>
    </row>
    <row r="92" spans="1:6" x14ac:dyDescent="0.25">
      <c r="A92" s="2"/>
      <c r="B92" s="2" t="s">
        <v>1</v>
      </c>
      <c r="C92" s="2" t="s">
        <v>2</v>
      </c>
      <c r="D92" s="2" t="s">
        <v>3</v>
      </c>
      <c r="E92" s="2" t="s">
        <v>4</v>
      </c>
      <c r="F92" s="2" t="s">
        <v>5</v>
      </c>
    </row>
    <row r="93" spans="1:6" x14ac:dyDescent="0.25">
      <c r="A93" s="2" t="s">
        <v>25</v>
      </c>
      <c r="B93" s="2">
        <f>0.18*C68</f>
        <v>966600000</v>
      </c>
      <c r="C93" s="2">
        <f t="shared" ref="C93:F93" si="29">0.18*D68</f>
        <v>1035228600</v>
      </c>
      <c r="D93" s="2">
        <f t="shared" si="29"/>
        <v>1161526489.2</v>
      </c>
      <c r="E93" s="2">
        <f t="shared" si="29"/>
        <v>439173000</v>
      </c>
      <c r="F93" s="2">
        <f t="shared" si="29"/>
        <v>0</v>
      </c>
    </row>
    <row r="94" spans="1:6" x14ac:dyDescent="0.25">
      <c r="A94" s="2" t="s">
        <v>26</v>
      </c>
      <c r="B94" s="2">
        <f>0.14*C70</f>
        <v>672000000.00000012</v>
      </c>
      <c r="C94" s="2">
        <f t="shared" ref="C94:F94" si="30">0.14*D70</f>
        <v>726768000.00000012</v>
      </c>
      <c r="D94" s="2">
        <f t="shared" si="30"/>
        <v>823428144.00000024</v>
      </c>
      <c r="E94" s="2">
        <f t="shared" si="30"/>
        <v>428348984.00000006</v>
      </c>
      <c r="F94" s="2">
        <f t="shared" si="30"/>
        <v>0</v>
      </c>
    </row>
    <row r="95" spans="1:6" x14ac:dyDescent="0.25">
      <c r="A95" s="2" t="s">
        <v>27</v>
      </c>
      <c r="B95" s="2">
        <f>B93-B94</f>
        <v>294599999.99999988</v>
      </c>
      <c r="C95" s="2">
        <f t="shared" ref="C95" si="31">C93-C94</f>
        <v>308460599.99999988</v>
      </c>
      <c r="D95" s="2">
        <f t="shared" ref="D95" si="32">D93-D94</f>
        <v>338098345.19999981</v>
      </c>
      <c r="E95" s="2">
        <f t="shared" ref="E95" si="33">E93-E94</f>
        <v>10824015.99999994</v>
      </c>
      <c r="F95" s="2">
        <f t="shared" ref="F95" si="34">F93-F94</f>
        <v>0</v>
      </c>
    </row>
    <row r="96" spans="1:6" x14ac:dyDescent="0.25">
      <c r="A96" s="2" t="s">
        <v>28</v>
      </c>
      <c r="B96" s="2">
        <f>-B95</f>
        <v>-294599999.99999988</v>
      </c>
      <c r="C96" s="2">
        <f>B96+C95</f>
        <v>13860600</v>
      </c>
      <c r="D96" s="2">
        <f t="shared" ref="D96" si="35">C96+D95</f>
        <v>351958945.19999981</v>
      </c>
      <c r="E96" s="2">
        <f t="shared" ref="E96" si="36">D96+E95</f>
        <v>362782961.19999975</v>
      </c>
      <c r="F96" s="2">
        <f t="shared" ref="F96" si="37">E96+F95</f>
        <v>362782961.19999975</v>
      </c>
    </row>
    <row r="98" spans="1:6" x14ac:dyDescent="0.25">
      <c r="A98" t="s">
        <v>30</v>
      </c>
    </row>
    <row r="100" spans="1:6" x14ac:dyDescent="0.25">
      <c r="A100" s="1" t="s">
        <v>31</v>
      </c>
    </row>
    <row r="101" spans="1:6" x14ac:dyDescent="0.25">
      <c r="A101" s="2"/>
      <c r="B101" s="2" t="s">
        <v>1</v>
      </c>
      <c r="C101" s="2" t="s">
        <v>2</v>
      </c>
      <c r="D101" s="2" t="s">
        <v>3</v>
      </c>
      <c r="E101" s="2" t="s">
        <v>4</v>
      </c>
      <c r="F101" s="2" t="s">
        <v>5</v>
      </c>
    </row>
    <row r="102" spans="1:6" x14ac:dyDescent="0.25">
      <c r="A102" s="2" t="s">
        <v>32</v>
      </c>
      <c r="B102" s="2">
        <f>-475000000</f>
        <v>-475000000</v>
      </c>
      <c r="C102" s="2"/>
      <c r="D102" s="2"/>
      <c r="E102" s="2"/>
      <c r="F102" s="2"/>
    </row>
    <row r="103" spans="1:6" x14ac:dyDescent="0.25">
      <c r="A103" s="2" t="s">
        <v>33</v>
      </c>
      <c r="B103" s="2">
        <f>-50000000</f>
        <v>-50000000</v>
      </c>
      <c r="C103" s="2"/>
      <c r="D103" s="2"/>
      <c r="E103" s="2"/>
      <c r="F103" s="2"/>
    </row>
    <row r="104" spans="1:6" x14ac:dyDescent="0.25">
      <c r="A104" s="2" t="s">
        <v>34</v>
      </c>
      <c r="B104" s="2">
        <f>B102+B103</f>
        <v>-525000000</v>
      </c>
      <c r="C104" s="2"/>
      <c r="D104" s="2"/>
      <c r="E104" s="2"/>
      <c r="F104" s="2"/>
    </row>
    <row r="106" spans="1:6" x14ac:dyDescent="0.25">
      <c r="A106" s="1" t="s">
        <v>35</v>
      </c>
    </row>
    <row r="107" spans="1:6" x14ac:dyDescent="0.25">
      <c r="A107" s="2"/>
      <c r="B107" s="2" t="s">
        <v>1</v>
      </c>
      <c r="C107" s="2" t="s">
        <v>2</v>
      </c>
      <c r="D107" s="2" t="s">
        <v>3</v>
      </c>
      <c r="E107" s="2" t="s">
        <v>4</v>
      </c>
      <c r="F107" s="2" t="s">
        <v>5</v>
      </c>
    </row>
    <row r="108" spans="1:6" x14ac:dyDescent="0.25">
      <c r="A108" s="2" t="s">
        <v>58</v>
      </c>
      <c r="B108" s="2"/>
      <c r="C108" s="2"/>
      <c r="D108" s="2"/>
      <c r="E108" s="2"/>
      <c r="F108" s="2">
        <f>(0.25*475000000)*0.79</f>
        <v>93812500</v>
      </c>
    </row>
    <row r="109" spans="1:6" x14ac:dyDescent="0.25">
      <c r="A109" s="2" t="s">
        <v>36</v>
      </c>
      <c r="B109" s="2"/>
      <c r="C109" s="2"/>
      <c r="D109" s="2"/>
      <c r="E109" s="2"/>
      <c r="F109" s="2">
        <f>52000000*0.79</f>
        <v>41080000</v>
      </c>
    </row>
    <row r="111" spans="1:6" x14ac:dyDescent="0.25">
      <c r="A111" t="s">
        <v>37</v>
      </c>
    </row>
    <row r="113" spans="1:9" x14ac:dyDescent="0.25">
      <c r="A113" s="3" t="s">
        <v>38</v>
      </c>
      <c r="B113" s="2" t="s">
        <v>39</v>
      </c>
      <c r="C113" s="2" t="s">
        <v>40</v>
      </c>
      <c r="D113" s="2" t="s">
        <v>41</v>
      </c>
      <c r="E113" s="2" t="s">
        <v>42</v>
      </c>
      <c r="F113" s="2" t="s">
        <v>43</v>
      </c>
      <c r="G113" s="2" t="s">
        <v>44</v>
      </c>
      <c r="H113" s="2" t="s">
        <v>45</v>
      </c>
      <c r="I113" s="2" t="s">
        <v>46</v>
      </c>
    </row>
    <row r="114" spans="1:9" x14ac:dyDescent="0.25">
      <c r="A114" s="2" t="s">
        <v>1</v>
      </c>
      <c r="B114" s="2">
        <f>B104</f>
        <v>-525000000</v>
      </c>
      <c r="C114" s="2">
        <f>B87</f>
        <v>35550000</v>
      </c>
      <c r="D114" s="2">
        <f>B96</f>
        <v>-294599999.99999988</v>
      </c>
      <c r="E114" s="2">
        <v>0</v>
      </c>
      <c r="F114" s="2"/>
      <c r="G114" s="2">
        <f>B114+C114+D114+E114</f>
        <v>-784049999.99999988</v>
      </c>
      <c r="H114" s="2">
        <f>1/(1.13^0)</f>
        <v>1</v>
      </c>
      <c r="I114" s="2">
        <f>G114*H114</f>
        <v>-784049999.99999988</v>
      </c>
    </row>
    <row r="115" spans="1:9" x14ac:dyDescent="0.25">
      <c r="A115" s="2" t="s">
        <v>2</v>
      </c>
      <c r="B115" s="2"/>
      <c r="C115" s="2"/>
      <c r="D115" s="2">
        <f>C96</f>
        <v>13860600</v>
      </c>
      <c r="E115" s="2">
        <f>C76</f>
        <v>501054725</v>
      </c>
      <c r="F115" s="2"/>
      <c r="G115" s="2">
        <f t="shared" ref="G115:G118" si="38">B115+C115+D115+E115</f>
        <v>514915325</v>
      </c>
      <c r="H115" s="2">
        <f>1/(1.13^1)</f>
        <v>0.88495575221238942</v>
      </c>
      <c r="I115" s="2">
        <f t="shared" ref="I115:I118" si="39">G115*H115</f>
        <v>455677278.76106197</v>
      </c>
    </row>
    <row r="116" spans="1:9" x14ac:dyDescent="0.25">
      <c r="A116" s="2" t="s">
        <v>3</v>
      </c>
      <c r="B116" s="2"/>
      <c r="C116" s="2"/>
      <c r="D116" s="2">
        <f>D96</f>
        <v>351958945.19999981</v>
      </c>
      <c r="E116" s="2">
        <f>D76</f>
        <v>504455525</v>
      </c>
      <c r="F116" s="2"/>
      <c r="G116" s="2">
        <f t="shared" si="38"/>
        <v>856414470.19999981</v>
      </c>
      <c r="H116" s="2">
        <f>1/(1.13^2)</f>
        <v>0.78314668337379612</v>
      </c>
      <c r="I116" s="2">
        <f t="shared" si="39"/>
        <v>670698151.93045664</v>
      </c>
    </row>
    <row r="117" spans="1:9" x14ac:dyDescent="0.25">
      <c r="A117" s="2" t="s">
        <v>4</v>
      </c>
      <c r="B117" s="2"/>
      <c r="C117" s="2"/>
      <c r="D117" s="2">
        <f>E96</f>
        <v>362782961.19999975</v>
      </c>
      <c r="E117" s="2">
        <f>E76</f>
        <v>505606043.60000002</v>
      </c>
      <c r="F117" s="2"/>
      <c r="G117" s="2">
        <f t="shared" si="38"/>
        <v>868389004.79999971</v>
      </c>
      <c r="H117" s="2">
        <f>1/(1.13^3)</f>
        <v>0.69305016227769578</v>
      </c>
      <c r="I117" s="2">
        <f t="shared" si="39"/>
        <v>601837140.69680655</v>
      </c>
    </row>
    <row r="118" spans="1:9" x14ac:dyDescent="0.25">
      <c r="A118" s="2" t="s">
        <v>5</v>
      </c>
      <c r="B118" s="2"/>
      <c r="C118" s="2"/>
      <c r="D118" s="2">
        <f>F96</f>
        <v>362782961.19999975</v>
      </c>
      <c r="E118" s="2">
        <f>F76</f>
        <v>-455860399</v>
      </c>
      <c r="F118" s="2">
        <f>F109+F108</f>
        <v>134892500</v>
      </c>
      <c r="G118" s="2">
        <f>B118+C118+D118+E118</f>
        <v>-93077437.80000025</v>
      </c>
      <c r="H118" s="2">
        <f>1/(1.13^4)</f>
        <v>0.61331872767937679</v>
      </c>
      <c r="I118" s="2">
        <f t="shared" si="39"/>
        <v>-57086135.727152482</v>
      </c>
    </row>
    <row r="119" spans="1:9" x14ac:dyDescent="0.25">
      <c r="A119" s="2"/>
      <c r="B119" s="2"/>
      <c r="C119" s="2"/>
      <c r="D119" s="2"/>
      <c r="E119" s="2"/>
      <c r="F119" s="2"/>
      <c r="G119" s="2"/>
      <c r="H119" s="3" t="s">
        <v>47</v>
      </c>
      <c r="I119" s="3">
        <f>I114+I115+I116+I117+I118</f>
        <v>887076435.66117275</v>
      </c>
    </row>
    <row r="120" spans="1:9" x14ac:dyDescent="0.25">
      <c r="A120" s="16"/>
      <c r="B120" s="16"/>
      <c r="C120" s="16"/>
      <c r="D120" s="16"/>
      <c r="E120" s="16"/>
      <c r="F120" s="16"/>
      <c r="G120" s="16"/>
      <c r="H120" s="16"/>
      <c r="I120" s="16"/>
    </row>
    <row r="121" spans="1:9" x14ac:dyDescent="0.25">
      <c r="A121" s="1" t="s">
        <v>66</v>
      </c>
      <c r="B121" s="16"/>
      <c r="C121" s="16"/>
      <c r="D121" s="16"/>
      <c r="E121" s="16"/>
      <c r="F121" s="16"/>
      <c r="G121" s="16"/>
      <c r="H121" s="16"/>
      <c r="I121" s="16"/>
    </row>
    <row r="122" spans="1:9" x14ac:dyDescent="0.25">
      <c r="A122" s="17" t="s">
        <v>67</v>
      </c>
      <c r="B122" s="16"/>
      <c r="C122" s="16"/>
      <c r="D122" s="16"/>
      <c r="E122" s="16"/>
      <c r="F122" s="16"/>
      <c r="G122" s="16"/>
      <c r="H122" s="16"/>
      <c r="I122" s="16"/>
    </row>
    <row r="123" spans="1:9" x14ac:dyDescent="0.25">
      <c r="A123" s="17"/>
      <c r="B123" s="16"/>
      <c r="C123" s="16"/>
      <c r="D123" s="16"/>
      <c r="E123" s="16"/>
      <c r="F123" s="16"/>
      <c r="G123" s="16"/>
      <c r="H123" s="16"/>
      <c r="I123" s="16"/>
    </row>
    <row r="124" spans="1:9" x14ac:dyDescent="0.25">
      <c r="A124" s="16"/>
      <c r="B124" s="16"/>
      <c r="C124" s="16"/>
      <c r="D124" s="16"/>
      <c r="E124" s="16"/>
      <c r="F124" s="16"/>
      <c r="G124" s="16"/>
      <c r="H124" s="16"/>
      <c r="I124" s="16"/>
    </row>
    <row r="125" spans="1:9" x14ac:dyDescent="0.25">
      <c r="A125" s="16"/>
      <c r="B125" s="16"/>
      <c r="C125" s="16"/>
      <c r="D125" s="16"/>
      <c r="E125" s="16"/>
      <c r="F125" s="16"/>
      <c r="G125" s="16"/>
      <c r="H125" s="16"/>
      <c r="I125" s="16"/>
    </row>
    <row r="126" spans="1:9" x14ac:dyDescent="0.25">
      <c r="A126" s="16"/>
      <c r="B126" s="16"/>
      <c r="C126" s="16"/>
      <c r="D126" s="16"/>
      <c r="E126" s="16"/>
      <c r="F126" s="16"/>
      <c r="G126" s="16"/>
      <c r="H126" s="16"/>
      <c r="I126" s="16"/>
    </row>
    <row r="127" spans="1:9" x14ac:dyDescent="0.25">
      <c r="A127" s="16"/>
      <c r="B127" s="16"/>
      <c r="C127" s="16"/>
      <c r="D127" s="16"/>
      <c r="E127" s="16"/>
      <c r="F127" s="16"/>
      <c r="G127" s="16"/>
      <c r="H127" s="16"/>
      <c r="I127" s="16"/>
    </row>
    <row r="128" spans="1:9" x14ac:dyDescent="0.25">
      <c r="A128" s="16"/>
      <c r="B128" s="16"/>
      <c r="C128" s="16"/>
      <c r="D128" s="16"/>
      <c r="E128" s="16"/>
      <c r="F128" s="16"/>
      <c r="G128" s="16"/>
      <c r="H128" s="16"/>
      <c r="I128" s="16"/>
    </row>
    <row r="129" spans="1:9" x14ac:dyDescent="0.25">
      <c r="A129" s="16"/>
      <c r="B129" s="16"/>
      <c r="C129" s="16"/>
      <c r="D129" s="16"/>
      <c r="E129" s="16"/>
      <c r="F129" s="16"/>
      <c r="G129" s="16"/>
      <c r="H129" s="16"/>
      <c r="I129" s="16"/>
    </row>
    <row r="130" spans="1:9" x14ac:dyDescent="0.25">
      <c r="A130" s="16"/>
      <c r="B130" s="16"/>
      <c r="C130" s="16"/>
      <c r="D130" s="16"/>
      <c r="E130" s="16"/>
      <c r="F130" s="16"/>
      <c r="G130" s="16"/>
      <c r="H130" s="16"/>
      <c r="I130" s="16"/>
    </row>
    <row r="131" spans="1:9" x14ac:dyDescent="0.25">
      <c r="A131" s="16"/>
      <c r="B131" s="16"/>
      <c r="C131" s="16"/>
      <c r="D131" s="16"/>
      <c r="E131" s="16"/>
      <c r="F131" s="16"/>
      <c r="G131" s="16"/>
      <c r="H131" s="16"/>
      <c r="I131" s="16"/>
    </row>
    <row r="132" spans="1:9" x14ac:dyDescent="0.25">
      <c r="A132" s="16"/>
      <c r="B132" s="16"/>
      <c r="C132" s="16"/>
      <c r="D132" s="16"/>
      <c r="E132" s="16"/>
      <c r="F132" s="16"/>
      <c r="G132" s="16"/>
      <c r="H132" s="16"/>
      <c r="I132" s="16"/>
    </row>
    <row r="133" spans="1:9" x14ac:dyDescent="0.25">
      <c r="A133" s="16"/>
      <c r="B133" s="16"/>
      <c r="C133" s="16"/>
      <c r="D133" s="16"/>
      <c r="E133" s="16"/>
      <c r="F133" s="16"/>
      <c r="G133" s="16"/>
      <c r="H133" s="16"/>
      <c r="I133" s="16"/>
    </row>
    <row r="134" spans="1:9" x14ac:dyDescent="0.25">
      <c r="A134" s="16"/>
      <c r="B134" s="16"/>
      <c r="C134" s="16"/>
      <c r="D134" s="16"/>
      <c r="E134" s="16"/>
      <c r="F134" s="16"/>
      <c r="G134" s="16"/>
      <c r="H134" s="16"/>
      <c r="I134" s="16"/>
    </row>
    <row r="135" spans="1:9" x14ac:dyDescent="0.25">
      <c r="A135" s="16"/>
      <c r="B135" s="16"/>
      <c r="C135" s="16"/>
      <c r="D135" s="16"/>
      <c r="E135" s="16"/>
      <c r="F135" s="16"/>
      <c r="G135" s="16"/>
      <c r="H135" s="16"/>
      <c r="I135" s="16"/>
    </row>
    <row r="136" spans="1:9" x14ac:dyDescent="0.25">
      <c r="A136" s="16"/>
      <c r="B136" s="16"/>
      <c r="C136" s="16"/>
      <c r="D136" s="16"/>
      <c r="E136" s="16"/>
      <c r="F136" s="16"/>
      <c r="G136" s="16"/>
      <c r="H136" s="16"/>
      <c r="I136" s="16"/>
    </row>
    <row r="137" spans="1:9" x14ac:dyDescent="0.25">
      <c r="A137" s="16"/>
      <c r="B137" s="16"/>
      <c r="C137" s="16"/>
      <c r="D137" s="16"/>
      <c r="E137" s="16"/>
      <c r="F137" s="16"/>
      <c r="G137" s="16"/>
      <c r="H137" s="16"/>
      <c r="I137" s="16"/>
    </row>
    <row r="138" spans="1:9" x14ac:dyDescent="0.25">
      <c r="A138" s="16"/>
      <c r="B138" s="16"/>
      <c r="C138" s="16"/>
      <c r="D138" s="16"/>
      <c r="E138" s="16"/>
      <c r="F138" s="16"/>
      <c r="G138" s="16"/>
      <c r="H138" s="16"/>
      <c r="I138" s="16"/>
    </row>
    <row r="139" spans="1:9" x14ac:dyDescent="0.25">
      <c r="A139" s="16"/>
      <c r="B139" s="16"/>
      <c r="C139" s="16"/>
      <c r="D139" s="16"/>
      <c r="E139" s="16"/>
      <c r="F139" s="16"/>
      <c r="G139" s="16"/>
      <c r="H139" s="16"/>
      <c r="I139" s="16"/>
    </row>
    <row r="140" spans="1:9" x14ac:dyDescent="0.25">
      <c r="A140" s="16"/>
      <c r="B140" s="16"/>
      <c r="C140" s="16"/>
      <c r="D140" s="16"/>
      <c r="E140" s="16"/>
      <c r="F140" s="16"/>
      <c r="G140" s="16"/>
      <c r="H140" s="16"/>
      <c r="I140" s="16"/>
    </row>
    <row r="141" spans="1:9" x14ac:dyDescent="0.25">
      <c r="A141" s="16"/>
      <c r="B141" s="16"/>
      <c r="C141" s="16"/>
      <c r="D141" s="16"/>
      <c r="E141" s="16"/>
      <c r="F141" s="16"/>
      <c r="G141" s="16"/>
      <c r="H141" s="16"/>
      <c r="I141" s="16"/>
    </row>
    <row r="142" spans="1:9" x14ac:dyDescent="0.25">
      <c r="A142" s="16"/>
      <c r="B142" s="16"/>
      <c r="C142" s="16"/>
      <c r="D142" s="16"/>
      <c r="E142" s="16"/>
      <c r="F142" s="16"/>
      <c r="G142" s="16"/>
      <c r="H142" s="16"/>
      <c r="I142" s="16"/>
    </row>
    <row r="143" spans="1:9" x14ac:dyDescent="0.25">
      <c r="A143" s="17"/>
      <c r="B143" s="16"/>
      <c r="C143" s="16"/>
      <c r="D143" s="16"/>
      <c r="E143" s="16"/>
      <c r="F143" s="16"/>
      <c r="G143" s="16"/>
      <c r="H143" s="16"/>
      <c r="I143" s="16"/>
    </row>
    <row r="144" spans="1:9" x14ac:dyDescent="0.25">
      <c r="A144" s="16"/>
      <c r="B144" s="16"/>
      <c r="C144" s="16"/>
      <c r="D144" s="16"/>
      <c r="E144" s="16"/>
      <c r="F144" s="16"/>
      <c r="G144" s="16"/>
      <c r="H144" s="16"/>
      <c r="I144" s="16"/>
    </row>
    <row r="145" spans="1:9" x14ac:dyDescent="0.25">
      <c r="A145" s="16"/>
      <c r="B145" s="16"/>
      <c r="C145" s="16"/>
      <c r="D145" s="16"/>
      <c r="E145" s="16"/>
      <c r="F145" s="16"/>
      <c r="G145" s="16"/>
      <c r="H145" s="16"/>
      <c r="I145" s="16"/>
    </row>
    <row r="146" spans="1:9" x14ac:dyDescent="0.25">
      <c r="A146" s="16"/>
      <c r="B146" s="16"/>
      <c r="C146" s="16"/>
      <c r="D146" s="16"/>
      <c r="E146" s="16"/>
      <c r="F146" s="16"/>
      <c r="G146" s="16"/>
      <c r="H146" s="16"/>
      <c r="I146" s="16"/>
    </row>
    <row r="147" spans="1:9" x14ac:dyDescent="0.25">
      <c r="A147" s="16"/>
      <c r="B147" s="16"/>
      <c r="C147" s="16"/>
      <c r="D147" s="16"/>
      <c r="E147" s="16"/>
      <c r="F147" s="16"/>
      <c r="G147" s="16"/>
      <c r="H147" s="16"/>
      <c r="I147" s="16"/>
    </row>
    <row r="148" spans="1:9" x14ac:dyDescent="0.25">
      <c r="A148" s="16"/>
      <c r="B148" s="16"/>
      <c r="C148" s="16"/>
      <c r="D148" s="16"/>
      <c r="E148" s="16"/>
      <c r="F148" s="16"/>
      <c r="G148" s="16"/>
      <c r="H148" s="16"/>
      <c r="I148" s="16"/>
    </row>
    <row r="149" spans="1:9" x14ac:dyDescent="0.25">
      <c r="A149" s="17"/>
      <c r="B149" s="16"/>
      <c r="C149" s="16"/>
      <c r="D149" s="16"/>
      <c r="E149" s="16"/>
      <c r="F149" s="16"/>
      <c r="G149" s="16"/>
      <c r="H149" s="16"/>
      <c r="I149" s="16"/>
    </row>
    <row r="150" spans="1:9" x14ac:dyDescent="0.25">
      <c r="A150" s="16"/>
      <c r="B150" s="16"/>
      <c r="C150" s="16"/>
      <c r="D150" s="16"/>
      <c r="E150" s="16"/>
      <c r="F150" s="16"/>
      <c r="G150" s="16"/>
      <c r="H150" s="16"/>
      <c r="I150" s="16"/>
    </row>
    <row r="151" spans="1:9" x14ac:dyDescent="0.25">
      <c r="A151" s="16"/>
      <c r="B151" s="16"/>
      <c r="C151" s="16"/>
      <c r="D151" s="16"/>
      <c r="E151" s="16"/>
      <c r="F151" s="16"/>
      <c r="G151" s="16"/>
      <c r="H151" s="16"/>
      <c r="I151" s="16"/>
    </row>
    <row r="152" spans="1:9" x14ac:dyDescent="0.25">
      <c r="A152" s="16"/>
      <c r="B152" s="16"/>
      <c r="C152" s="16"/>
      <c r="D152" s="16"/>
      <c r="E152" s="16"/>
      <c r="F152" s="16"/>
      <c r="G152" s="16"/>
      <c r="H152" s="16"/>
      <c r="I152" s="16"/>
    </row>
    <row r="153" spans="1:9" x14ac:dyDescent="0.25">
      <c r="A153" s="16"/>
      <c r="B153" s="16"/>
      <c r="C153" s="16"/>
      <c r="D153" s="16"/>
      <c r="E153" s="16"/>
      <c r="F153" s="16"/>
      <c r="G153" s="16"/>
      <c r="H153" s="16"/>
      <c r="I153" s="16"/>
    </row>
    <row r="154" spans="1:9" x14ac:dyDescent="0.25">
      <c r="A154" s="16"/>
      <c r="B154" s="16"/>
      <c r="C154" s="16"/>
      <c r="D154" s="16"/>
      <c r="E154" s="16"/>
      <c r="F154" s="16"/>
      <c r="G154" s="16"/>
      <c r="H154" s="16"/>
      <c r="I154" s="16"/>
    </row>
    <row r="155" spans="1:9" x14ac:dyDescent="0.25">
      <c r="A155" s="16"/>
      <c r="B155" s="16"/>
      <c r="C155" s="16"/>
      <c r="D155" s="16"/>
      <c r="E155" s="16"/>
      <c r="F155" s="16"/>
      <c r="G155" s="16"/>
      <c r="H155" s="16"/>
      <c r="I155" s="16"/>
    </row>
    <row r="156" spans="1:9" x14ac:dyDescent="0.25">
      <c r="A156" s="16"/>
      <c r="B156" s="16"/>
      <c r="C156" s="16"/>
      <c r="D156" s="16"/>
      <c r="E156" s="16"/>
      <c r="F156" s="16"/>
      <c r="G156" s="16"/>
      <c r="H156" s="16"/>
      <c r="I156" s="16"/>
    </row>
    <row r="157" spans="1:9" x14ac:dyDescent="0.25">
      <c r="A157" s="16"/>
      <c r="B157" s="16"/>
      <c r="C157" s="16"/>
      <c r="D157" s="16"/>
      <c r="E157" s="16"/>
      <c r="F157" s="16"/>
      <c r="G157" s="16"/>
      <c r="H157" s="16"/>
      <c r="I157" s="16"/>
    </row>
    <row r="158" spans="1:9" x14ac:dyDescent="0.25">
      <c r="A158" s="17"/>
      <c r="B158" s="16"/>
      <c r="C158" s="16"/>
      <c r="D158" s="16"/>
      <c r="E158" s="16"/>
      <c r="F158" s="16"/>
      <c r="G158" s="16"/>
      <c r="H158" s="16"/>
      <c r="I158" s="16"/>
    </row>
    <row r="159" spans="1:9" x14ac:dyDescent="0.25">
      <c r="A159" s="16"/>
      <c r="B159" s="16"/>
      <c r="C159" s="16"/>
      <c r="D159" s="16"/>
      <c r="E159" s="16"/>
      <c r="F159" s="16"/>
      <c r="G159" s="16"/>
      <c r="H159" s="16"/>
      <c r="I159" s="16"/>
    </row>
    <row r="160" spans="1:9" x14ac:dyDescent="0.25">
      <c r="A160" s="16"/>
      <c r="B160" s="16"/>
      <c r="C160" s="16"/>
      <c r="D160" s="16"/>
      <c r="E160" s="16"/>
      <c r="F160" s="16"/>
      <c r="G160" s="16"/>
      <c r="H160" s="16"/>
      <c r="I160" s="16"/>
    </row>
    <row r="161" spans="1:9" x14ac:dyDescent="0.25">
      <c r="A161" s="16"/>
      <c r="B161" s="16"/>
      <c r="C161" s="16"/>
      <c r="D161" s="16"/>
      <c r="E161" s="16"/>
      <c r="F161" s="16"/>
      <c r="G161" s="16"/>
      <c r="H161" s="16"/>
      <c r="I161" s="16"/>
    </row>
    <row r="162" spans="1:9" x14ac:dyDescent="0.25">
      <c r="A162" s="16"/>
      <c r="B162" s="16"/>
      <c r="C162" s="16"/>
      <c r="D162" s="16"/>
      <c r="E162" s="16"/>
      <c r="F162" s="16"/>
      <c r="G162" s="16"/>
      <c r="H162" s="16"/>
      <c r="I162" s="16"/>
    </row>
    <row r="163" spans="1:9" x14ac:dyDescent="0.25">
      <c r="A163" s="16"/>
      <c r="B163" s="16"/>
      <c r="C163" s="16"/>
      <c r="D163" s="16"/>
      <c r="E163" s="16"/>
      <c r="F163" s="16"/>
      <c r="G163" s="16"/>
      <c r="H163" s="16"/>
      <c r="I163" s="16"/>
    </row>
    <row r="164" spans="1:9" x14ac:dyDescent="0.25">
      <c r="A164" s="17"/>
      <c r="B164" s="16"/>
      <c r="C164" s="16"/>
      <c r="D164" s="16"/>
      <c r="E164" s="16"/>
      <c r="F164" s="16"/>
      <c r="G164" s="16"/>
      <c r="H164" s="16"/>
      <c r="I164" s="16"/>
    </row>
    <row r="165" spans="1:9" x14ac:dyDescent="0.25">
      <c r="A165" s="16"/>
      <c r="B165" s="16"/>
      <c r="C165" s="16"/>
      <c r="D165" s="16"/>
      <c r="E165" s="16"/>
      <c r="F165" s="16"/>
      <c r="G165" s="16"/>
      <c r="H165" s="16"/>
      <c r="I165" s="16"/>
    </row>
    <row r="166" spans="1:9" x14ac:dyDescent="0.25">
      <c r="A166" s="16"/>
      <c r="B166" s="16"/>
      <c r="C166" s="16"/>
      <c r="D166" s="16"/>
      <c r="E166" s="16"/>
      <c r="F166" s="16"/>
      <c r="G166" s="16"/>
      <c r="H166" s="16"/>
      <c r="I166" s="16"/>
    </row>
    <row r="167" spans="1:9" x14ac:dyDescent="0.25">
      <c r="A167" s="16"/>
      <c r="B167" s="16"/>
      <c r="C167" s="16"/>
      <c r="D167" s="16"/>
      <c r="E167" s="16"/>
      <c r="F167" s="16"/>
      <c r="G167" s="16"/>
      <c r="H167" s="16"/>
      <c r="I167" s="16"/>
    </row>
    <row r="168" spans="1:9" x14ac:dyDescent="0.25">
      <c r="A168" s="16"/>
      <c r="B168" s="16"/>
      <c r="C168" s="16"/>
      <c r="D168" s="16"/>
      <c r="E168" s="16"/>
      <c r="F168" s="16"/>
      <c r="G168" s="16"/>
      <c r="H168" s="16"/>
      <c r="I168" s="16"/>
    </row>
    <row r="169" spans="1:9" x14ac:dyDescent="0.25">
      <c r="A169" s="16"/>
      <c r="B169" s="16"/>
      <c r="C169" s="16"/>
      <c r="D169" s="16"/>
      <c r="E169" s="16"/>
      <c r="F169" s="16"/>
      <c r="G169" s="16"/>
      <c r="H169" s="16"/>
      <c r="I169" s="16"/>
    </row>
    <row r="170" spans="1:9" x14ac:dyDescent="0.25">
      <c r="A170" s="17"/>
      <c r="B170" s="16"/>
      <c r="C170" s="16"/>
      <c r="D170" s="16"/>
      <c r="E170" s="16"/>
      <c r="F170" s="16"/>
      <c r="G170" s="16"/>
      <c r="H170" s="16"/>
      <c r="I170" s="16"/>
    </row>
    <row r="171" spans="1:9" x14ac:dyDescent="0.25">
      <c r="A171" s="16"/>
      <c r="B171" s="16"/>
      <c r="C171" s="16"/>
      <c r="D171" s="16"/>
      <c r="E171" s="16"/>
      <c r="F171" s="16"/>
      <c r="G171" s="16"/>
      <c r="H171" s="16"/>
      <c r="I171" s="16"/>
    </row>
    <row r="172" spans="1:9" x14ac:dyDescent="0.25">
      <c r="A172" s="16"/>
      <c r="B172" s="16"/>
      <c r="C172" s="16"/>
      <c r="D172" s="16"/>
      <c r="E172" s="16"/>
      <c r="F172" s="16"/>
      <c r="G172" s="16"/>
      <c r="H172" s="16"/>
      <c r="I172" s="16"/>
    </row>
    <row r="173" spans="1:9" x14ac:dyDescent="0.25">
      <c r="A173" s="16"/>
      <c r="B173" s="16"/>
      <c r="C173" s="16"/>
      <c r="D173" s="16"/>
      <c r="E173" s="16"/>
      <c r="F173" s="16"/>
      <c r="G173" s="16"/>
      <c r="H173" s="16"/>
      <c r="I173" s="16"/>
    </row>
    <row r="174" spans="1:9" x14ac:dyDescent="0.25">
      <c r="A174" s="16"/>
      <c r="B174" s="16"/>
      <c r="C174" s="16"/>
      <c r="D174" s="16"/>
      <c r="E174" s="16"/>
      <c r="F174" s="16"/>
      <c r="G174" s="16"/>
      <c r="H174" s="16"/>
      <c r="I174" s="16"/>
    </row>
    <row r="175" spans="1:9" x14ac:dyDescent="0.25">
      <c r="A175" s="16"/>
      <c r="B175" s="16"/>
      <c r="C175" s="16"/>
      <c r="D175" s="16"/>
      <c r="E175" s="16"/>
      <c r="F175" s="16"/>
      <c r="G175" s="16"/>
      <c r="H175" s="16"/>
      <c r="I175" s="16"/>
    </row>
    <row r="176" spans="1:9" x14ac:dyDescent="0.25">
      <c r="A176" s="16"/>
      <c r="B176" s="16"/>
      <c r="C176" s="16"/>
      <c r="D176" s="16"/>
      <c r="E176" s="16"/>
      <c r="F176" s="16"/>
      <c r="G176" s="16"/>
      <c r="H176" s="17"/>
      <c r="I176" s="17"/>
    </row>
  </sheetData>
  <scenarios current="0" show="1" sqref="I57">
    <scenario name="Optimistic" locked="1" count="1" user="Tom " comment="Created by Tom  on 11/22/2020_x000a_Modified by Tom  on 11/22/2020">
      <inputCells r="F6" val="745"/>
    </scenario>
    <scenario name="Pessimistic" locked="1" count="1" user="Tom " comment="Created by Tom  on 11/22/2020_x000a_Modified by Tom  on 11/22/2020">
      <inputCells r="F6" val="650"/>
    </scenario>
  </scenarios>
  <phoneticPr fontId="3" type="noConversion"/>
  <pageMargins left="0.7" right="0.7" top="0.75" bottom="0.75" header="0.3" footer="0.3"/>
  <pageSetup orientation="portrait" r:id="rId1"/>
  <ignoredErrors>
    <ignoredError sqref="D7:E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6F10-AD25-449E-B717-4D2278D3D0B8}">
  <sheetPr codeName="Sheet1">
    <outlinePr summaryBelow="0"/>
  </sheetPr>
  <dimension ref="B1:I11"/>
  <sheetViews>
    <sheetView showGridLines="0" workbookViewId="0">
      <selection activeCell="I10" sqref="I10"/>
    </sheetView>
  </sheetViews>
  <sheetFormatPr defaultRowHeight="15" outlineLevelRow="1" outlineLevelCol="1" x14ac:dyDescent="0.25"/>
  <cols>
    <col min="3" max="3" width="5.5703125" bestFit="1" customWidth="1"/>
    <col min="4" max="6" width="13.140625" bestFit="1" customWidth="1" outlineLevel="1"/>
  </cols>
  <sheetData>
    <row r="1" spans="2:9" ht="15.75" thickBot="1" x14ac:dyDescent="0.3"/>
    <row r="2" spans="2:9" ht="15.75" x14ac:dyDescent="0.25">
      <c r="B2" s="7" t="s">
        <v>51</v>
      </c>
      <c r="C2" s="7"/>
      <c r="D2" s="12"/>
      <c r="E2" s="12"/>
      <c r="F2" s="12"/>
      <c r="I2" s="1" t="s">
        <v>62</v>
      </c>
    </row>
    <row r="3" spans="2:9" ht="15.75" collapsed="1" x14ac:dyDescent="0.25">
      <c r="B3" s="6"/>
      <c r="C3" s="6"/>
      <c r="D3" s="13" t="s">
        <v>53</v>
      </c>
      <c r="E3" s="13" t="s">
        <v>49</v>
      </c>
      <c r="F3" s="13" t="s">
        <v>50</v>
      </c>
      <c r="I3" s="17" t="s">
        <v>67</v>
      </c>
    </row>
    <row r="4" spans="2:9" ht="45" hidden="1" outlineLevel="1" x14ac:dyDescent="0.25">
      <c r="B4" s="9"/>
      <c r="C4" s="9"/>
      <c r="D4" s="4"/>
      <c r="E4" s="15" t="s">
        <v>61</v>
      </c>
      <c r="F4" s="15" t="s">
        <v>61</v>
      </c>
    </row>
    <row r="5" spans="2:9" x14ac:dyDescent="0.25">
      <c r="B5" s="10" t="s">
        <v>52</v>
      </c>
      <c r="C5" s="10"/>
      <c r="D5" s="8"/>
      <c r="E5" s="8"/>
      <c r="F5" s="8"/>
    </row>
    <row r="6" spans="2:9" outlineLevel="1" x14ac:dyDescent="0.25">
      <c r="B6" s="9"/>
      <c r="C6" s="9" t="s">
        <v>59</v>
      </c>
      <c r="D6" s="4">
        <v>700</v>
      </c>
      <c r="E6" s="14">
        <v>745</v>
      </c>
      <c r="F6" s="14">
        <v>650</v>
      </c>
    </row>
    <row r="7" spans="2:9" x14ac:dyDescent="0.25">
      <c r="B7" s="10" t="s">
        <v>54</v>
      </c>
      <c r="C7" s="10"/>
      <c r="D7" s="8"/>
      <c r="E7" s="8"/>
      <c r="F7" s="8"/>
    </row>
    <row r="8" spans="2:9" ht="15.75" outlineLevel="1" thickBot="1" x14ac:dyDescent="0.3">
      <c r="B8" s="11"/>
      <c r="C8" s="11" t="s">
        <v>60</v>
      </c>
      <c r="D8" s="5">
        <v>894381067.84102201</v>
      </c>
      <c r="E8" s="5">
        <v>1007728808.5628099</v>
      </c>
      <c r="F8" s="5">
        <v>768439133.70570004</v>
      </c>
    </row>
    <row r="9" spans="2:9" x14ac:dyDescent="0.25">
      <c r="B9" t="s">
        <v>55</v>
      </c>
    </row>
    <row r="10" spans="2:9" x14ac:dyDescent="0.25">
      <c r="B10" t="s">
        <v>56</v>
      </c>
    </row>
    <row r="11" spans="2:9" x14ac:dyDescent="0.25">
      <c r="B11" t="s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A7DB-10EF-4EC6-AA71-C8A2BF91450D}">
  <dimension ref="A1:I54"/>
  <sheetViews>
    <sheetView topLeftCell="A38" workbookViewId="0">
      <selection sqref="A1:I54"/>
    </sheetView>
  </sheetViews>
  <sheetFormatPr defaultRowHeight="15" x14ac:dyDescent="0.25"/>
  <cols>
    <col min="1" max="1" width="39.42578125" customWidth="1"/>
    <col min="2" max="2" width="10.7109375" bestFit="1" customWidth="1"/>
    <col min="3" max="3" width="11.85546875" bestFit="1" customWidth="1"/>
    <col min="4" max="4" width="15.28515625" bestFit="1" customWidth="1"/>
    <col min="5" max="5" width="12" bestFit="1" customWidth="1"/>
    <col min="6" max="6" width="12" customWidth="1"/>
    <col min="7" max="8" width="12" bestFit="1" customWidth="1"/>
    <col min="9" max="9" width="18" bestFit="1" customWidth="1"/>
  </cols>
  <sheetData>
    <row r="1" spans="1:6" x14ac:dyDescent="0.25">
      <c r="A1" t="s">
        <v>100</v>
      </c>
    </row>
    <row r="3" spans="1:6" x14ac:dyDescent="0.25">
      <c r="A3" s="1" t="s">
        <v>0</v>
      </c>
    </row>
    <row r="4" spans="1:6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16"/>
    </row>
    <row r="5" spans="1:6" x14ac:dyDescent="0.25">
      <c r="A5" s="2" t="s">
        <v>6</v>
      </c>
      <c r="B5" s="2"/>
      <c r="C5" s="2">
        <v>6000000</v>
      </c>
      <c r="D5" s="2">
        <f>C5*1.05</f>
        <v>6300000</v>
      </c>
      <c r="E5" s="2">
        <f>D5*1.1</f>
        <v>6930000.0000000009</v>
      </c>
      <c r="F5" s="16"/>
    </row>
    <row r="6" spans="1:6" x14ac:dyDescent="0.25">
      <c r="A6" s="2" t="s">
        <v>7</v>
      </c>
      <c r="B6" s="2"/>
      <c r="C6" s="2">
        <v>750</v>
      </c>
      <c r="D6" s="2">
        <v>750</v>
      </c>
      <c r="E6" s="2">
        <v>750</v>
      </c>
      <c r="F6" s="16"/>
    </row>
    <row r="7" spans="1:6" x14ac:dyDescent="0.25">
      <c r="A7" s="2" t="s">
        <v>9</v>
      </c>
      <c r="B7" s="2"/>
      <c r="C7" s="2">
        <f>C5*C6</f>
        <v>4500000000</v>
      </c>
      <c r="D7" s="2">
        <f>D5*D6</f>
        <v>4725000000</v>
      </c>
      <c r="E7" s="2">
        <f t="shared" ref="E7" si="0">E5*E6</f>
        <v>5197500000.000001</v>
      </c>
      <c r="F7" s="16"/>
    </row>
    <row r="8" spans="1:6" x14ac:dyDescent="0.25">
      <c r="A8" s="2" t="s">
        <v>8</v>
      </c>
      <c r="B8" s="2"/>
      <c r="C8" s="2">
        <v>800</v>
      </c>
      <c r="D8" s="2">
        <f>C8*1.03</f>
        <v>824</v>
      </c>
      <c r="E8" s="2">
        <f t="shared" ref="E8" si="1">D8*1.03</f>
        <v>848.72</v>
      </c>
      <c r="F8" s="16"/>
    </row>
    <row r="9" spans="1:6" x14ac:dyDescent="0.25">
      <c r="A9" s="2" t="s">
        <v>10</v>
      </c>
      <c r="B9" s="2"/>
      <c r="C9" s="2">
        <f>C5*C8</f>
        <v>4800000000</v>
      </c>
      <c r="D9" s="2">
        <f t="shared" ref="D9:E9" si="2">D5*D8</f>
        <v>5191200000</v>
      </c>
      <c r="E9" s="2">
        <f t="shared" si="2"/>
        <v>5881629600.000001</v>
      </c>
      <c r="F9" s="16"/>
    </row>
    <row r="10" spans="1:6" x14ac:dyDescent="0.25">
      <c r="A10" s="2" t="s">
        <v>11</v>
      </c>
      <c r="B10" s="2"/>
      <c r="C10" s="2">
        <f>C7-C9</f>
        <v>-300000000</v>
      </c>
      <c r="D10" s="2">
        <f t="shared" ref="D10" si="3">D7-D9</f>
        <v>-466200000</v>
      </c>
      <c r="E10" s="2">
        <f>E7-E9</f>
        <v>-684129600</v>
      </c>
      <c r="F10" s="16"/>
    </row>
    <row r="11" spans="1:6" x14ac:dyDescent="0.25">
      <c r="A11" s="2" t="s">
        <v>12</v>
      </c>
      <c r="B11" s="2"/>
      <c r="C11" s="2">
        <f>3000000/3</f>
        <v>1000000</v>
      </c>
      <c r="D11" s="2">
        <f t="shared" ref="D11:E11" si="4">3000000/3</f>
        <v>1000000</v>
      </c>
      <c r="E11" s="2">
        <f t="shared" si="4"/>
        <v>1000000</v>
      </c>
      <c r="F11" s="16"/>
    </row>
    <row r="12" spans="1:6" x14ac:dyDescent="0.25">
      <c r="A12" s="2" t="s">
        <v>13</v>
      </c>
      <c r="B12" s="2"/>
      <c r="C12" s="2">
        <f>(C10-C11)*0.21</f>
        <v>-63210000</v>
      </c>
      <c r="D12" s="2">
        <f t="shared" ref="D12:E12" si="5">(D10-D11)*0.21</f>
        <v>-98112000</v>
      </c>
      <c r="E12" s="2">
        <f t="shared" si="5"/>
        <v>-143877216</v>
      </c>
      <c r="F12" s="16"/>
    </row>
    <row r="13" spans="1:6" x14ac:dyDescent="0.25">
      <c r="A13" s="2" t="s">
        <v>14</v>
      </c>
      <c r="B13" s="2"/>
      <c r="C13" s="2">
        <f>C10-C12</f>
        <v>-236790000</v>
      </c>
      <c r="D13" s="2">
        <f t="shared" ref="D13:E13" si="6">D10-D12</f>
        <v>-368088000</v>
      </c>
      <c r="E13" s="2">
        <f t="shared" si="6"/>
        <v>-540252384</v>
      </c>
      <c r="F13" s="16"/>
    </row>
    <row r="14" spans="1:6" x14ac:dyDescent="0.25">
      <c r="A14" s="2" t="s">
        <v>15</v>
      </c>
      <c r="B14" s="2"/>
      <c r="C14" s="2">
        <v>35000000</v>
      </c>
      <c r="D14" s="2">
        <v>35000000</v>
      </c>
      <c r="E14" s="2">
        <v>35000000</v>
      </c>
      <c r="F14" s="16"/>
    </row>
    <row r="15" spans="1:6" x14ac:dyDescent="0.25">
      <c r="A15" s="2" t="s">
        <v>16</v>
      </c>
      <c r="B15" s="2"/>
      <c r="C15" s="2">
        <f>C13+C14</f>
        <v>-201790000</v>
      </c>
      <c r="D15" s="2">
        <f t="shared" ref="D15:E15" si="7">D13+D14</f>
        <v>-333088000</v>
      </c>
      <c r="E15" s="2">
        <f t="shared" si="7"/>
        <v>-505252384</v>
      </c>
      <c r="F15" s="16"/>
    </row>
    <row r="17" spans="1:6" x14ac:dyDescent="0.25">
      <c r="A17" t="s">
        <v>17</v>
      </c>
    </row>
    <row r="18" spans="1:6" x14ac:dyDescent="0.25">
      <c r="A18" t="s">
        <v>19</v>
      </c>
    </row>
    <row r="19" spans="1:6" x14ac:dyDescent="0.25">
      <c r="A19" t="s">
        <v>69</v>
      </c>
    </row>
    <row r="20" spans="1:6" x14ac:dyDescent="0.25">
      <c r="A20" t="s">
        <v>21</v>
      </c>
    </row>
    <row r="22" spans="1:6" x14ac:dyDescent="0.25">
      <c r="A22" s="1" t="s">
        <v>22</v>
      </c>
    </row>
    <row r="23" spans="1:6" x14ac:dyDescent="0.25">
      <c r="A23" s="2"/>
      <c r="B23" s="2" t="s">
        <v>1</v>
      </c>
      <c r="C23" s="2" t="s">
        <v>2</v>
      </c>
      <c r="D23" s="2" t="s">
        <v>3</v>
      </c>
      <c r="E23" s="2" t="s">
        <v>4</v>
      </c>
      <c r="F23" s="16"/>
    </row>
    <row r="24" spans="1:6" x14ac:dyDescent="0.25">
      <c r="A24" s="2" t="s">
        <v>23</v>
      </c>
      <c r="B24" s="2">
        <f>45000000*0.79</f>
        <v>35550000</v>
      </c>
      <c r="C24" s="2"/>
      <c r="D24" s="2"/>
      <c r="E24" s="2"/>
      <c r="F24" s="16"/>
    </row>
    <row r="26" spans="1:6" x14ac:dyDescent="0.25">
      <c r="A26" t="s">
        <v>29</v>
      </c>
    </row>
    <row r="28" spans="1:6" x14ac:dyDescent="0.25">
      <c r="A28" s="1" t="s">
        <v>24</v>
      </c>
    </row>
    <row r="29" spans="1:6" x14ac:dyDescent="0.25">
      <c r="A29" s="2"/>
      <c r="B29" s="2" t="s">
        <v>1</v>
      </c>
      <c r="C29" s="2" t="s">
        <v>2</v>
      </c>
      <c r="D29" s="2" t="s">
        <v>3</v>
      </c>
      <c r="E29" s="2" t="s">
        <v>4</v>
      </c>
      <c r="F29" s="16"/>
    </row>
    <row r="30" spans="1:6" x14ac:dyDescent="0.25">
      <c r="A30" s="2" t="s">
        <v>25</v>
      </c>
      <c r="B30" s="2">
        <f>0.18*C7</f>
        <v>810000000</v>
      </c>
      <c r="C30" s="2">
        <f>0.18*D7</f>
        <v>850500000</v>
      </c>
      <c r="D30" s="2">
        <f>0.18*E7</f>
        <v>935550000.00000012</v>
      </c>
      <c r="E30" s="2"/>
      <c r="F30" s="16"/>
    </row>
    <row r="31" spans="1:6" x14ac:dyDescent="0.25">
      <c r="A31" s="2" t="s">
        <v>26</v>
      </c>
      <c r="B31" s="2">
        <f>0.14*C9</f>
        <v>672000000.00000012</v>
      </c>
      <c r="C31" s="2">
        <f>0.14*D9</f>
        <v>726768000.00000012</v>
      </c>
      <c r="D31" s="2">
        <f>0.14*E9</f>
        <v>823428144.00000024</v>
      </c>
      <c r="E31" s="2"/>
      <c r="F31" s="16"/>
    </row>
    <row r="32" spans="1:6" x14ac:dyDescent="0.25">
      <c r="A32" s="2" t="s">
        <v>27</v>
      </c>
      <c r="B32" s="2">
        <f>B30-B31</f>
        <v>137999999.99999988</v>
      </c>
      <c r="C32" s="2">
        <f t="shared" ref="C32:D32" si="8">C30-C31</f>
        <v>123731999.99999988</v>
      </c>
      <c r="D32" s="2">
        <f t="shared" si="8"/>
        <v>112121855.99999988</v>
      </c>
      <c r="E32" s="2"/>
      <c r="F32" s="16"/>
    </row>
    <row r="33" spans="1:9" x14ac:dyDescent="0.25">
      <c r="A33" s="2" t="s">
        <v>28</v>
      </c>
      <c r="B33" s="2">
        <f>-B32</f>
        <v>-137999999.99999988</v>
      </c>
      <c r="C33" s="2">
        <f>B33+C32</f>
        <v>-14268000</v>
      </c>
      <c r="D33" s="2">
        <f t="shared" ref="D33:E33" si="9">C33+D32</f>
        <v>97853855.999999881</v>
      </c>
      <c r="E33" s="2">
        <f t="shared" si="9"/>
        <v>97853855.999999881</v>
      </c>
      <c r="F33" s="16"/>
    </row>
    <row r="35" spans="1:9" x14ac:dyDescent="0.25">
      <c r="A35" t="s">
        <v>30</v>
      </c>
    </row>
    <row r="37" spans="1:9" x14ac:dyDescent="0.25">
      <c r="A37" s="1" t="s">
        <v>31</v>
      </c>
    </row>
    <row r="38" spans="1:9" x14ac:dyDescent="0.25">
      <c r="A38" s="2"/>
      <c r="B38" s="2" t="s">
        <v>1</v>
      </c>
      <c r="C38" s="2" t="s">
        <v>2</v>
      </c>
      <c r="D38" s="2" t="s">
        <v>3</v>
      </c>
      <c r="E38" s="2" t="s">
        <v>4</v>
      </c>
      <c r="F38" s="16"/>
    </row>
    <row r="39" spans="1:9" x14ac:dyDescent="0.25">
      <c r="A39" s="2" t="s">
        <v>34</v>
      </c>
      <c r="B39" s="2">
        <f>-3000000</f>
        <v>-3000000</v>
      </c>
      <c r="C39" s="2"/>
      <c r="D39" s="2"/>
      <c r="E39" s="2"/>
      <c r="F39" s="16"/>
    </row>
    <row r="41" spans="1:9" x14ac:dyDescent="0.25">
      <c r="A41" s="1" t="s">
        <v>35</v>
      </c>
    </row>
    <row r="42" spans="1:9" x14ac:dyDescent="0.25">
      <c r="A42" s="2"/>
      <c r="B42" s="2" t="s">
        <v>1</v>
      </c>
      <c r="C42" s="2" t="s">
        <v>2</v>
      </c>
      <c r="D42" s="2" t="s">
        <v>3</v>
      </c>
      <c r="E42" s="2" t="s">
        <v>4</v>
      </c>
      <c r="F42" s="16"/>
    </row>
    <row r="43" spans="1:9" x14ac:dyDescent="0.25">
      <c r="A43" s="2" t="s">
        <v>36</v>
      </c>
      <c r="B43" s="2"/>
      <c r="C43" s="2"/>
      <c r="D43" s="2"/>
      <c r="E43" s="2"/>
      <c r="F43" s="16"/>
    </row>
    <row r="45" spans="1:9" x14ac:dyDescent="0.25">
      <c r="A45" t="s">
        <v>37</v>
      </c>
    </row>
    <row r="47" spans="1:9" x14ac:dyDescent="0.25">
      <c r="A47" s="3" t="s">
        <v>38</v>
      </c>
      <c r="B47" s="2" t="s">
        <v>39</v>
      </c>
      <c r="C47" s="2" t="s">
        <v>40</v>
      </c>
      <c r="D47" s="2" t="s">
        <v>41</v>
      </c>
      <c r="E47" s="2" t="s">
        <v>42</v>
      </c>
      <c r="F47" s="2" t="s">
        <v>43</v>
      </c>
      <c r="G47" s="2" t="s">
        <v>44</v>
      </c>
      <c r="H47" s="2" t="s">
        <v>45</v>
      </c>
      <c r="I47" s="2" t="s">
        <v>46</v>
      </c>
    </row>
    <row r="48" spans="1:9" x14ac:dyDescent="0.25">
      <c r="A48" s="2" t="s">
        <v>1</v>
      </c>
      <c r="B48" s="2">
        <f>B39</f>
        <v>-3000000</v>
      </c>
      <c r="C48" s="2">
        <f>B24</f>
        <v>35550000</v>
      </c>
      <c r="D48" s="2">
        <f>B33</f>
        <v>-137999999.99999988</v>
      </c>
      <c r="E48" s="2">
        <v>0</v>
      </c>
      <c r="F48" s="2"/>
      <c r="G48" s="2">
        <f>B48+C48+D48+E48</f>
        <v>-105449999.99999988</v>
      </c>
      <c r="H48" s="2">
        <f>1/(1.13^0)</f>
        <v>1</v>
      </c>
      <c r="I48" s="2">
        <f>G48*H48</f>
        <v>-105449999.99999988</v>
      </c>
    </row>
    <row r="49" spans="1:9" x14ac:dyDescent="0.25">
      <c r="A49" s="2" t="s">
        <v>2</v>
      </c>
      <c r="B49" s="2"/>
      <c r="C49" s="2"/>
      <c r="D49" s="2">
        <f>C33</f>
        <v>-14268000</v>
      </c>
      <c r="E49" s="2">
        <f>C15</f>
        <v>-201790000</v>
      </c>
      <c r="F49" s="2"/>
      <c r="G49" s="2">
        <f>B49+C49+D49+E49</f>
        <v>-216058000</v>
      </c>
      <c r="H49" s="2">
        <f>1/(1.13^1)</f>
        <v>0.88495575221238942</v>
      </c>
      <c r="I49" s="2">
        <f t="shared" ref="I49:I51" si="10">G49*H49</f>
        <v>-191201769.91150445</v>
      </c>
    </row>
    <row r="50" spans="1:9" x14ac:dyDescent="0.25">
      <c r="A50" s="2" t="s">
        <v>3</v>
      </c>
      <c r="B50" s="2"/>
      <c r="C50" s="2"/>
      <c r="D50" s="2">
        <f>D33</f>
        <v>97853855.999999881</v>
      </c>
      <c r="E50" s="2">
        <f>D15</f>
        <v>-333088000</v>
      </c>
      <c r="F50" s="2"/>
      <c r="G50" s="2">
        <f>B50+C50+D50+E50</f>
        <v>-235234144.00000012</v>
      </c>
      <c r="H50" s="2">
        <f>1/(1.13^2)</f>
        <v>0.78314668337379612</v>
      </c>
      <c r="I50" s="2">
        <f t="shared" si="10"/>
        <v>-184222839.68987405</v>
      </c>
    </row>
    <row r="51" spans="1:9" x14ac:dyDescent="0.25">
      <c r="A51" s="2" t="s">
        <v>4</v>
      </c>
      <c r="B51" s="2"/>
      <c r="C51" s="2"/>
      <c r="D51" s="2">
        <f>E33</f>
        <v>97853855.999999881</v>
      </c>
      <c r="E51" s="2">
        <f>E15</f>
        <v>-505252384</v>
      </c>
      <c r="F51" s="2" t="s">
        <v>68</v>
      </c>
      <c r="G51" s="2">
        <f>B51+C51+D51+E51</f>
        <v>-407398528.00000012</v>
      </c>
      <c r="H51" s="2">
        <f>1/(1.13^3)</f>
        <v>0.69305016227769578</v>
      </c>
      <c r="I51" s="2">
        <f t="shared" si="10"/>
        <v>-282347615.94209445</v>
      </c>
    </row>
    <row r="52" spans="1:9" x14ac:dyDescent="0.25">
      <c r="A52" s="2"/>
      <c r="B52" s="2"/>
      <c r="C52" s="2"/>
      <c r="D52" s="2"/>
      <c r="E52" s="2"/>
      <c r="F52" s="2"/>
      <c r="G52" s="2"/>
      <c r="H52" s="3" t="s">
        <v>47</v>
      </c>
      <c r="I52" s="3">
        <f>I48+I49+I50+I51</f>
        <v>-763222225.54347277</v>
      </c>
    </row>
    <row r="54" spans="1:9" x14ac:dyDescent="0.25">
      <c r="A54" s="1" t="s">
        <v>70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A9BC5-40C9-46C0-8121-2654885573D1}">
  <dimension ref="A1:H52"/>
  <sheetViews>
    <sheetView workbookViewId="0"/>
  </sheetViews>
  <sheetFormatPr defaultRowHeight="15" x14ac:dyDescent="0.25"/>
  <cols>
    <col min="1" max="1" width="41.42578125" customWidth="1"/>
    <col min="2" max="2" width="10.7109375" bestFit="1" customWidth="1"/>
    <col min="3" max="3" width="11.85546875" bestFit="1" customWidth="1"/>
    <col min="4" max="4" width="15.28515625" bestFit="1" customWidth="1"/>
    <col min="5" max="7" width="12" bestFit="1" customWidth="1"/>
    <col min="8" max="8" width="18" bestFit="1" customWidth="1"/>
  </cols>
  <sheetData>
    <row r="1" spans="1:5" x14ac:dyDescent="0.25">
      <c r="A1" t="s">
        <v>101</v>
      </c>
    </row>
    <row r="3" spans="1:5" x14ac:dyDescent="0.25">
      <c r="A3" s="1" t="s">
        <v>0</v>
      </c>
    </row>
    <row r="4" spans="1:5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25">
      <c r="A5" s="2" t="s">
        <v>6</v>
      </c>
      <c r="B5" s="2"/>
      <c r="C5" s="2">
        <v>6000000</v>
      </c>
      <c r="D5" s="2">
        <f>C5*1.05</f>
        <v>6300000</v>
      </c>
      <c r="E5" s="2">
        <f>D5*1.1</f>
        <v>6930000.0000000009</v>
      </c>
    </row>
    <row r="6" spans="1:5" x14ac:dyDescent="0.25">
      <c r="A6" s="2" t="s">
        <v>7</v>
      </c>
      <c r="B6" s="2"/>
      <c r="C6" s="2">
        <v>750</v>
      </c>
      <c r="D6" s="2">
        <v>750</v>
      </c>
      <c r="E6" s="2">
        <v>750</v>
      </c>
    </row>
    <row r="7" spans="1:5" x14ac:dyDescent="0.25">
      <c r="A7" s="2" t="s">
        <v>9</v>
      </c>
      <c r="B7" s="2"/>
      <c r="C7" s="2">
        <f>C5*C6</f>
        <v>4500000000</v>
      </c>
      <c r="D7" s="2">
        <f>D5*D6</f>
        <v>4725000000</v>
      </c>
      <c r="E7" s="2">
        <f t="shared" ref="E7" si="0">E5*E6</f>
        <v>5197500000.000001</v>
      </c>
    </row>
    <row r="8" spans="1:5" x14ac:dyDescent="0.25">
      <c r="A8" s="2" t="s">
        <v>8</v>
      </c>
      <c r="B8" s="2"/>
      <c r="C8" s="2">
        <v>800</v>
      </c>
      <c r="D8" s="2">
        <f>C8*1.03</f>
        <v>824</v>
      </c>
      <c r="E8" s="2">
        <f t="shared" ref="E8" si="1">D8*1.03</f>
        <v>848.72</v>
      </c>
    </row>
    <row r="9" spans="1:5" x14ac:dyDescent="0.25">
      <c r="A9" s="2" t="s">
        <v>10</v>
      </c>
      <c r="B9" s="2"/>
      <c r="C9" s="2">
        <f>C5*C8</f>
        <v>4800000000</v>
      </c>
      <c r="D9" s="2">
        <f t="shared" ref="D9:E9" si="2">D5*D8</f>
        <v>5191200000</v>
      </c>
      <c r="E9" s="2">
        <f t="shared" si="2"/>
        <v>5881629600.000001</v>
      </c>
    </row>
    <row r="10" spans="1:5" x14ac:dyDescent="0.25">
      <c r="A10" s="2" t="s">
        <v>11</v>
      </c>
      <c r="B10" s="2"/>
      <c r="C10" s="2">
        <f>C7-C9</f>
        <v>-300000000</v>
      </c>
      <c r="D10" s="2">
        <f t="shared" ref="D10" si="3">D7-D9</f>
        <v>-466200000</v>
      </c>
      <c r="E10" s="2">
        <f>E7-E9</f>
        <v>-684129600</v>
      </c>
    </row>
    <row r="11" spans="1:5" x14ac:dyDescent="0.25">
      <c r="A11" s="2" t="s">
        <v>12</v>
      </c>
      <c r="B11" s="2"/>
      <c r="C11" s="2">
        <f>350000000/3</f>
        <v>116666666.66666667</v>
      </c>
      <c r="D11" s="2">
        <f t="shared" ref="D11:E11" si="4">350000000/3</f>
        <v>116666666.66666667</v>
      </c>
      <c r="E11" s="2">
        <f t="shared" si="4"/>
        <v>116666666.66666667</v>
      </c>
    </row>
    <row r="12" spans="1:5" x14ac:dyDescent="0.25">
      <c r="A12" s="2" t="s">
        <v>13</v>
      </c>
      <c r="B12" s="2"/>
      <c r="C12" s="2">
        <f>(C10-C11)*0.21</f>
        <v>-87500000</v>
      </c>
      <c r="D12" s="2">
        <f t="shared" ref="D12:E12" si="5">(D10-D11)*0.21</f>
        <v>-122401999.99999999</v>
      </c>
      <c r="E12" s="2">
        <f t="shared" si="5"/>
        <v>-168167216</v>
      </c>
    </row>
    <row r="13" spans="1:5" x14ac:dyDescent="0.25">
      <c r="A13" s="2" t="s">
        <v>14</v>
      </c>
      <c r="B13" s="2"/>
      <c r="C13" s="2">
        <f>C10-C12</f>
        <v>-212500000</v>
      </c>
      <c r="D13" s="2">
        <f t="shared" ref="D13:E13" si="6">D10-D12</f>
        <v>-343798000</v>
      </c>
      <c r="E13" s="2">
        <f t="shared" si="6"/>
        <v>-515962384</v>
      </c>
    </row>
    <row r="14" spans="1:5" x14ac:dyDescent="0.25">
      <c r="A14" s="2" t="s">
        <v>15</v>
      </c>
      <c r="B14" s="2"/>
      <c r="C14" s="2">
        <v>35000000</v>
      </c>
      <c r="D14" s="2">
        <v>35000000</v>
      </c>
      <c r="E14" s="2">
        <v>35000000</v>
      </c>
    </row>
    <row r="15" spans="1:5" x14ac:dyDescent="0.25">
      <c r="A15" s="2" t="s">
        <v>16</v>
      </c>
      <c r="B15" s="2"/>
      <c r="C15" s="2">
        <f>C13+C14</f>
        <v>-177500000</v>
      </c>
      <c r="D15" s="2">
        <f t="shared" ref="D15:E15" si="7">D13+D14</f>
        <v>-308798000</v>
      </c>
      <c r="E15" s="2">
        <f t="shared" si="7"/>
        <v>-480962384</v>
      </c>
    </row>
    <row r="17" spans="1:5" x14ac:dyDescent="0.25">
      <c r="A17" t="s">
        <v>17</v>
      </c>
    </row>
    <row r="18" spans="1:5" x14ac:dyDescent="0.25">
      <c r="A18" t="s">
        <v>18</v>
      </c>
    </row>
    <row r="19" spans="1:5" x14ac:dyDescent="0.25">
      <c r="A19" t="s">
        <v>19</v>
      </c>
    </row>
    <row r="20" spans="1:5" x14ac:dyDescent="0.25">
      <c r="A20" t="s">
        <v>73</v>
      </c>
    </row>
    <row r="21" spans="1:5" x14ac:dyDescent="0.25">
      <c r="A21" t="s">
        <v>21</v>
      </c>
    </row>
    <row r="23" spans="1:5" x14ac:dyDescent="0.25">
      <c r="A23" s="1" t="s">
        <v>22</v>
      </c>
    </row>
    <row r="24" spans="1:5" x14ac:dyDescent="0.25">
      <c r="A24" s="2"/>
      <c r="B24" s="2" t="s">
        <v>1</v>
      </c>
      <c r="C24" s="2" t="s">
        <v>2</v>
      </c>
      <c r="D24" s="2" t="s">
        <v>3</v>
      </c>
      <c r="E24" s="2" t="s">
        <v>4</v>
      </c>
    </row>
    <row r="25" spans="1:5" x14ac:dyDescent="0.25">
      <c r="A25" s="2" t="s">
        <v>72</v>
      </c>
      <c r="B25" s="2">
        <f>48000000*0.79</f>
        <v>37920000</v>
      </c>
      <c r="C25" s="2"/>
      <c r="D25" s="2"/>
      <c r="E25" s="2"/>
    </row>
    <row r="27" spans="1:5" x14ac:dyDescent="0.25">
      <c r="A27" t="s">
        <v>71</v>
      </c>
    </row>
    <row r="29" spans="1:5" x14ac:dyDescent="0.25">
      <c r="A29" s="1" t="s">
        <v>24</v>
      </c>
    </row>
    <row r="30" spans="1:5" x14ac:dyDescent="0.25">
      <c r="A30" s="2"/>
      <c r="B30" s="2" t="s">
        <v>1</v>
      </c>
      <c r="C30" s="2" t="s">
        <v>2</v>
      </c>
      <c r="D30" s="2" t="s">
        <v>3</v>
      </c>
      <c r="E30" s="2" t="s">
        <v>4</v>
      </c>
    </row>
    <row r="31" spans="1:5" x14ac:dyDescent="0.25">
      <c r="A31" s="2" t="s">
        <v>25</v>
      </c>
      <c r="B31" s="2">
        <f>0.18*C7</f>
        <v>810000000</v>
      </c>
      <c r="C31" s="2">
        <f t="shared" ref="C31:D31" si="8">0.18*D7</f>
        <v>850500000</v>
      </c>
      <c r="D31" s="2">
        <f t="shared" si="8"/>
        <v>935550000.00000012</v>
      </c>
      <c r="E31" s="2"/>
    </row>
    <row r="32" spans="1:5" x14ac:dyDescent="0.25">
      <c r="A32" s="2" t="s">
        <v>26</v>
      </c>
      <c r="B32" s="2">
        <f>0.14*C9</f>
        <v>672000000.00000012</v>
      </c>
      <c r="C32" s="2">
        <f t="shared" ref="C32:D32" si="9">0.14*D9</f>
        <v>726768000.00000012</v>
      </c>
      <c r="D32" s="2">
        <f t="shared" si="9"/>
        <v>823428144.00000024</v>
      </c>
      <c r="E32" s="2"/>
    </row>
    <row r="33" spans="1:8" x14ac:dyDescent="0.25">
      <c r="A33" s="2" t="s">
        <v>27</v>
      </c>
      <c r="B33" s="2">
        <f>B31-B32</f>
        <v>137999999.99999988</v>
      </c>
      <c r="C33" s="2">
        <f t="shared" ref="C33:D33" si="10">C31-C32</f>
        <v>123731999.99999988</v>
      </c>
      <c r="D33" s="2">
        <f t="shared" si="10"/>
        <v>112121855.99999988</v>
      </c>
      <c r="E33" s="2"/>
    </row>
    <row r="34" spans="1:8" x14ac:dyDescent="0.25">
      <c r="A34" s="2" t="s">
        <v>28</v>
      </c>
      <c r="B34" s="2">
        <f>-B33</f>
        <v>-137999999.99999988</v>
      </c>
      <c r="C34" s="2">
        <f>B34+C33</f>
        <v>-14268000</v>
      </c>
      <c r="D34" s="2">
        <f t="shared" ref="D34:E34" si="11">C34+D33</f>
        <v>97853855.999999881</v>
      </c>
      <c r="E34" s="2">
        <f t="shared" si="11"/>
        <v>97853855.999999881</v>
      </c>
    </row>
    <row r="36" spans="1:8" x14ac:dyDescent="0.25">
      <c r="A36" t="s">
        <v>30</v>
      </c>
    </row>
    <row r="38" spans="1:8" x14ac:dyDescent="0.25">
      <c r="A38" s="1" t="s">
        <v>31</v>
      </c>
    </row>
    <row r="39" spans="1:8" x14ac:dyDescent="0.25">
      <c r="A39" s="2"/>
      <c r="B39" s="2" t="s">
        <v>1</v>
      </c>
      <c r="C39" s="2" t="s">
        <v>2</v>
      </c>
      <c r="D39" s="2" t="s">
        <v>3</v>
      </c>
      <c r="E39" s="2" t="s">
        <v>4</v>
      </c>
    </row>
    <row r="40" spans="1:8" x14ac:dyDescent="0.25">
      <c r="A40" s="2" t="s">
        <v>32</v>
      </c>
      <c r="B40" s="2">
        <f>-475000000</f>
        <v>-475000000</v>
      </c>
      <c r="C40" s="2"/>
      <c r="D40" s="2"/>
      <c r="E40" s="2"/>
    </row>
    <row r="41" spans="1:8" x14ac:dyDescent="0.25">
      <c r="A41" s="2" t="s">
        <v>33</v>
      </c>
      <c r="B41" s="2">
        <f>-50000000</f>
        <v>-50000000</v>
      </c>
      <c r="C41" s="2"/>
      <c r="D41" s="2"/>
      <c r="E41" s="2"/>
    </row>
    <row r="42" spans="1:8" x14ac:dyDescent="0.25">
      <c r="A42" s="2" t="s">
        <v>34</v>
      </c>
      <c r="B42" s="2">
        <f>B40+B41</f>
        <v>-525000000</v>
      </c>
      <c r="C42" s="2"/>
      <c r="D42" s="2"/>
      <c r="E42" s="2"/>
    </row>
    <row r="45" spans="1:8" x14ac:dyDescent="0.25">
      <c r="A45" s="3" t="s">
        <v>38</v>
      </c>
      <c r="B45" s="2" t="s">
        <v>39</v>
      </c>
      <c r="C45" s="2" t="s">
        <v>40</v>
      </c>
      <c r="D45" s="2" t="s">
        <v>41</v>
      </c>
      <c r="E45" s="2" t="s">
        <v>42</v>
      </c>
      <c r="F45" s="2" t="s">
        <v>44</v>
      </c>
      <c r="G45" s="2" t="s">
        <v>45</v>
      </c>
      <c r="H45" s="2" t="s">
        <v>46</v>
      </c>
    </row>
    <row r="46" spans="1:8" x14ac:dyDescent="0.25">
      <c r="A46" s="2" t="s">
        <v>1</v>
      </c>
      <c r="B46" s="2">
        <f>B42</f>
        <v>-525000000</v>
      </c>
      <c r="C46" s="2">
        <f>B25</f>
        <v>37920000</v>
      </c>
      <c r="D46" s="2">
        <f>B34</f>
        <v>-137999999.99999988</v>
      </c>
      <c r="E46" s="2">
        <v>0</v>
      </c>
      <c r="F46" s="2">
        <f>B46+C46+D46+E46</f>
        <v>-625079999.99999988</v>
      </c>
      <c r="G46" s="2">
        <f>1/(1.13^0)</f>
        <v>1</v>
      </c>
      <c r="H46" s="2">
        <f>F46*G46</f>
        <v>-625079999.99999988</v>
      </c>
    </row>
    <row r="47" spans="1:8" x14ac:dyDescent="0.25">
      <c r="A47" s="2" t="s">
        <v>2</v>
      </c>
      <c r="B47" s="2"/>
      <c r="C47" s="2"/>
      <c r="D47" s="2">
        <f>C34</f>
        <v>-14268000</v>
      </c>
      <c r="E47" s="2">
        <f>C15</f>
        <v>-177500000</v>
      </c>
      <c r="F47" s="2">
        <f>B47+C47+D47+E47</f>
        <v>-191768000</v>
      </c>
      <c r="G47" s="2">
        <f>1/(1.13^1)</f>
        <v>0.88495575221238942</v>
      </c>
      <c r="H47" s="2">
        <f t="shared" ref="H47:H49" si="12">F47*G47</f>
        <v>-169706194.69026551</v>
      </c>
    </row>
    <row r="48" spans="1:8" x14ac:dyDescent="0.25">
      <c r="A48" s="2" t="s">
        <v>3</v>
      </c>
      <c r="B48" s="2"/>
      <c r="C48" s="2"/>
      <c r="D48" s="2">
        <f>D34</f>
        <v>97853855.999999881</v>
      </c>
      <c r="E48" s="2">
        <f>D15</f>
        <v>-308798000</v>
      </c>
      <c r="F48" s="2">
        <f>B48+C48+D48+E48</f>
        <v>-210944144.00000012</v>
      </c>
      <c r="G48" s="2">
        <f>1/(1.13^2)</f>
        <v>0.78314668337379612</v>
      </c>
      <c r="H48" s="2">
        <f t="shared" si="12"/>
        <v>-165200206.75072455</v>
      </c>
    </row>
    <row r="49" spans="1:8" x14ac:dyDescent="0.25">
      <c r="A49" s="2" t="s">
        <v>4</v>
      </c>
      <c r="B49" s="2"/>
      <c r="C49" s="2"/>
      <c r="D49" s="2">
        <f>E34</f>
        <v>97853855.999999881</v>
      </c>
      <c r="E49" s="2">
        <f>E15</f>
        <v>-480962384</v>
      </c>
      <c r="F49" s="2">
        <f>B49+C49+D49+E49</f>
        <v>-383108528.00000012</v>
      </c>
      <c r="G49" s="2">
        <f>1/(1.13^3)</f>
        <v>0.69305016227769578</v>
      </c>
      <c r="H49" s="2">
        <f t="shared" si="12"/>
        <v>-265513427.50036925</v>
      </c>
    </row>
    <row r="50" spans="1:8" x14ac:dyDescent="0.25">
      <c r="A50" s="2"/>
      <c r="B50" s="2"/>
      <c r="C50" s="2"/>
      <c r="D50" s="2"/>
      <c r="E50" s="2"/>
      <c r="F50" s="2"/>
      <c r="G50" s="3" t="s">
        <v>47</v>
      </c>
      <c r="H50" s="3">
        <f>H46+H47+H48+H49</f>
        <v>-1225499828.9413593</v>
      </c>
    </row>
    <row r="52" spans="1:8" x14ac:dyDescent="0.25">
      <c r="A52" s="1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38380-393F-4A63-B8D6-F1BD59E2106A}">
  <dimension ref="A1:I57"/>
  <sheetViews>
    <sheetView workbookViewId="0"/>
  </sheetViews>
  <sheetFormatPr defaultRowHeight="15" x14ac:dyDescent="0.25"/>
  <cols>
    <col min="1" max="1" width="40.42578125" customWidth="1"/>
    <col min="2" max="2" width="10.7109375" bestFit="1" customWidth="1"/>
    <col min="3" max="3" width="11.85546875" bestFit="1" customWidth="1"/>
    <col min="4" max="4" width="15.28515625" bestFit="1" customWidth="1"/>
    <col min="5" max="8" width="12" bestFit="1" customWidth="1"/>
    <col min="9" max="9" width="18" customWidth="1"/>
  </cols>
  <sheetData>
    <row r="1" spans="1:6" x14ac:dyDescent="0.25">
      <c r="A1" t="s">
        <v>102</v>
      </c>
    </row>
    <row r="3" spans="1:6" x14ac:dyDescent="0.25">
      <c r="A3" s="1" t="s">
        <v>0</v>
      </c>
    </row>
    <row r="4" spans="1:6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25">
      <c r="A5" s="2" t="s">
        <v>6</v>
      </c>
      <c r="B5" s="2"/>
      <c r="C5" s="2">
        <v>6000000</v>
      </c>
      <c r="D5" s="2">
        <f>C5*1.05</f>
        <v>6300000</v>
      </c>
      <c r="E5" s="2">
        <f>D5*1.1</f>
        <v>6930000.0000000009</v>
      </c>
      <c r="F5" s="2">
        <v>3500000</v>
      </c>
    </row>
    <row r="6" spans="1:6" x14ac:dyDescent="0.25">
      <c r="A6" s="2" t="s">
        <v>7</v>
      </c>
      <c r="B6" s="2"/>
      <c r="C6" s="2">
        <v>895</v>
      </c>
      <c r="D6" s="2">
        <f>C6*1.02</f>
        <v>912.9</v>
      </c>
      <c r="E6" s="2">
        <f>D6*1.02</f>
        <v>931.15800000000002</v>
      </c>
      <c r="F6" s="2">
        <v>700</v>
      </c>
    </row>
    <row r="7" spans="1:6" x14ac:dyDescent="0.25">
      <c r="A7" s="2" t="s">
        <v>9</v>
      </c>
      <c r="B7" s="2"/>
      <c r="C7" s="2">
        <f>C5*C6</f>
        <v>5370000000</v>
      </c>
      <c r="D7" s="2">
        <f>D5*D6</f>
        <v>5751270000</v>
      </c>
      <c r="E7" s="2">
        <f t="shared" ref="E7:F7" si="0">E5*E6</f>
        <v>6452924940.000001</v>
      </c>
      <c r="F7" s="2">
        <f t="shared" si="0"/>
        <v>2450000000</v>
      </c>
    </row>
    <row r="8" spans="1:6" x14ac:dyDescent="0.25">
      <c r="A8" s="2" t="s">
        <v>8</v>
      </c>
      <c r="B8" s="2"/>
      <c r="C8" s="2">
        <v>800</v>
      </c>
      <c r="D8" s="2">
        <f>C8*1.03</f>
        <v>824</v>
      </c>
      <c r="E8" s="2">
        <f t="shared" ref="E8:F8" si="1">D8*1.03</f>
        <v>848.72</v>
      </c>
      <c r="F8" s="2">
        <f t="shared" si="1"/>
        <v>874.1816</v>
      </c>
    </row>
    <row r="9" spans="1:6" x14ac:dyDescent="0.25">
      <c r="A9" s="2" t="s">
        <v>10</v>
      </c>
      <c r="B9" s="2"/>
      <c r="C9" s="2">
        <f>C5*C8</f>
        <v>4800000000</v>
      </c>
      <c r="D9" s="2">
        <f t="shared" ref="D9:F9" si="2">D5*D8</f>
        <v>5191200000</v>
      </c>
      <c r="E9" s="2">
        <f t="shared" si="2"/>
        <v>5881629600.000001</v>
      </c>
      <c r="F9" s="2">
        <f t="shared" si="2"/>
        <v>3059635600</v>
      </c>
    </row>
    <row r="10" spans="1:6" x14ac:dyDescent="0.25">
      <c r="A10" s="2" t="s">
        <v>11</v>
      </c>
      <c r="B10" s="2"/>
      <c r="C10" s="2">
        <f>C7-C9</f>
        <v>570000000</v>
      </c>
      <c r="D10" s="2">
        <f t="shared" ref="D10" si="3">D7-D9</f>
        <v>560070000</v>
      </c>
      <c r="E10" s="2">
        <f>E7-E9</f>
        <v>571295340</v>
      </c>
      <c r="F10" s="2">
        <f>F7-F9</f>
        <v>-609635600</v>
      </c>
    </row>
    <row r="11" spans="1:6" x14ac:dyDescent="0.25">
      <c r="A11" s="2" t="s">
        <v>12</v>
      </c>
      <c r="B11" s="2"/>
      <c r="C11" s="2">
        <f>0.1429*525000000</f>
        <v>75022500</v>
      </c>
      <c r="D11" s="2">
        <f>0.2449*525000000</f>
        <v>128572500</v>
      </c>
      <c r="E11" s="2">
        <f>0.1749*525000000</f>
        <v>91822500</v>
      </c>
      <c r="F11" s="2">
        <f>0.1249*525000000</f>
        <v>65572500</v>
      </c>
    </row>
    <row r="12" spans="1:6" x14ac:dyDescent="0.25">
      <c r="A12" s="2" t="s">
        <v>13</v>
      </c>
      <c r="B12" s="2"/>
      <c r="C12" s="2">
        <f>(C10-C11)*0.21</f>
        <v>103945275</v>
      </c>
      <c r="D12" s="2">
        <f t="shared" ref="D12:F12" si="4">(D10-D11)*0.21</f>
        <v>90614475</v>
      </c>
      <c r="E12" s="2">
        <f t="shared" si="4"/>
        <v>100689296.39999999</v>
      </c>
      <c r="F12" s="2">
        <f t="shared" si="4"/>
        <v>-141793701</v>
      </c>
    </row>
    <row r="13" spans="1:6" x14ac:dyDescent="0.25">
      <c r="A13" s="2" t="s">
        <v>14</v>
      </c>
      <c r="B13" s="2"/>
      <c r="C13" s="2">
        <f>C10-C12</f>
        <v>466054725</v>
      </c>
      <c r="D13" s="2">
        <f t="shared" ref="D13:F13" si="5">D10-D12</f>
        <v>469455525</v>
      </c>
      <c r="E13" s="2">
        <f t="shared" si="5"/>
        <v>470606043.60000002</v>
      </c>
      <c r="F13" s="2">
        <f t="shared" si="5"/>
        <v>-467841899</v>
      </c>
    </row>
    <row r="14" spans="1:6" x14ac:dyDescent="0.25">
      <c r="A14" s="2" t="s">
        <v>15</v>
      </c>
      <c r="B14" s="2"/>
      <c r="C14" s="2">
        <v>35000000</v>
      </c>
      <c r="D14" s="2">
        <v>35000000</v>
      </c>
      <c r="E14" s="2">
        <v>35000000</v>
      </c>
      <c r="F14" s="2">
        <v>20000000</v>
      </c>
    </row>
    <row r="15" spans="1:6" x14ac:dyDescent="0.25">
      <c r="A15" s="2" t="s">
        <v>16</v>
      </c>
      <c r="B15" s="2"/>
      <c r="C15" s="2">
        <f>C13+C14</f>
        <v>501054725</v>
      </c>
      <c r="D15" s="2">
        <f t="shared" ref="D15:F15" si="6">D13+D14</f>
        <v>504455525</v>
      </c>
      <c r="E15" s="2">
        <f t="shared" si="6"/>
        <v>505606043.60000002</v>
      </c>
      <c r="F15" s="2">
        <f t="shared" si="6"/>
        <v>-447841899</v>
      </c>
    </row>
    <row r="17" spans="1:6" x14ac:dyDescent="0.25">
      <c r="A17" t="s">
        <v>17</v>
      </c>
    </row>
    <row r="18" spans="1:6" x14ac:dyDescent="0.25">
      <c r="A18" t="s">
        <v>18</v>
      </c>
    </row>
    <row r="19" spans="1:6" x14ac:dyDescent="0.25">
      <c r="A19" t="s">
        <v>19</v>
      </c>
    </row>
    <row r="20" spans="1:6" x14ac:dyDescent="0.25">
      <c r="A20" t="s">
        <v>20</v>
      </c>
    </row>
    <row r="21" spans="1:6" x14ac:dyDescent="0.25">
      <c r="A21" t="s">
        <v>21</v>
      </c>
    </row>
    <row r="23" spans="1:6" x14ac:dyDescent="0.25">
      <c r="A23" s="1" t="s">
        <v>22</v>
      </c>
    </row>
    <row r="24" spans="1:6" x14ac:dyDescent="0.25">
      <c r="A24" s="2"/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</row>
    <row r="25" spans="1:6" x14ac:dyDescent="0.25">
      <c r="A25" s="2" t="s">
        <v>23</v>
      </c>
      <c r="B25" s="2">
        <f>45000000*0.79</f>
        <v>35550000</v>
      </c>
      <c r="C25" s="2"/>
      <c r="D25" s="2"/>
      <c r="E25" s="2"/>
      <c r="F25" s="2"/>
    </row>
    <row r="27" spans="1:6" x14ac:dyDescent="0.25">
      <c r="A27" t="s">
        <v>29</v>
      </c>
    </row>
    <row r="29" spans="1:6" x14ac:dyDescent="0.25">
      <c r="A29" s="1" t="s">
        <v>24</v>
      </c>
    </row>
    <row r="30" spans="1:6" x14ac:dyDescent="0.25">
      <c r="A30" s="2"/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</row>
    <row r="31" spans="1:6" x14ac:dyDescent="0.25">
      <c r="A31" s="2" t="s">
        <v>25</v>
      </c>
      <c r="B31" s="2">
        <f>0.18*C7</f>
        <v>966600000</v>
      </c>
      <c r="C31" s="2">
        <f t="shared" ref="C31:F31" si="7">0.18*D7</f>
        <v>1035228600</v>
      </c>
      <c r="D31" s="2">
        <f t="shared" si="7"/>
        <v>1161526489.2</v>
      </c>
      <c r="E31" s="2">
        <f t="shared" si="7"/>
        <v>441000000</v>
      </c>
      <c r="F31" s="2">
        <f t="shared" si="7"/>
        <v>0</v>
      </c>
    </row>
    <row r="32" spans="1:6" x14ac:dyDescent="0.25">
      <c r="A32" s="2" t="s">
        <v>26</v>
      </c>
      <c r="B32" s="2">
        <f>0.14*C9</f>
        <v>672000000.00000012</v>
      </c>
      <c r="C32" s="2">
        <f t="shared" ref="C32:F32" si="8">0.14*D9</f>
        <v>726768000.00000012</v>
      </c>
      <c r="D32" s="2">
        <f t="shared" si="8"/>
        <v>823428144.00000024</v>
      </c>
      <c r="E32" s="2">
        <f t="shared" si="8"/>
        <v>428348984.00000006</v>
      </c>
      <c r="F32" s="2">
        <f t="shared" si="8"/>
        <v>0</v>
      </c>
    </row>
    <row r="33" spans="1:6" x14ac:dyDescent="0.25">
      <c r="A33" s="2" t="s">
        <v>27</v>
      </c>
      <c r="B33" s="2">
        <f>B31-B32</f>
        <v>294599999.99999988</v>
      </c>
      <c r="C33" s="2">
        <f t="shared" ref="C33:F33" si="9">C31-C32</f>
        <v>308460599.99999988</v>
      </c>
      <c r="D33" s="2">
        <f t="shared" si="9"/>
        <v>338098345.19999981</v>
      </c>
      <c r="E33" s="2">
        <f t="shared" si="9"/>
        <v>12651015.99999994</v>
      </c>
      <c r="F33" s="2">
        <f t="shared" si="9"/>
        <v>0</v>
      </c>
    </row>
    <row r="34" spans="1:6" x14ac:dyDescent="0.25">
      <c r="A34" s="2" t="s">
        <v>28</v>
      </c>
      <c r="B34" s="2">
        <f>-B33</f>
        <v>-294599999.99999988</v>
      </c>
      <c r="C34" s="2">
        <f>B34+C33</f>
        <v>13860600</v>
      </c>
      <c r="D34" s="2">
        <f t="shared" ref="D34:F34" si="10">C34+D33</f>
        <v>351958945.19999981</v>
      </c>
      <c r="E34" s="2">
        <f t="shared" si="10"/>
        <v>364609961.19999975</v>
      </c>
      <c r="F34" s="2">
        <f t="shared" si="10"/>
        <v>364609961.19999975</v>
      </c>
    </row>
    <row r="36" spans="1:6" x14ac:dyDescent="0.25">
      <c r="A36" t="s">
        <v>30</v>
      </c>
    </row>
    <row r="38" spans="1:6" x14ac:dyDescent="0.25">
      <c r="A38" s="1" t="s">
        <v>31</v>
      </c>
    </row>
    <row r="39" spans="1:6" x14ac:dyDescent="0.25">
      <c r="A39" s="2"/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</row>
    <row r="40" spans="1:6" x14ac:dyDescent="0.25">
      <c r="A40" s="2" t="s">
        <v>32</v>
      </c>
      <c r="B40" s="2">
        <f>-475000000</f>
        <v>-475000000</v>
      </c>
      <c r="C40" s="2"/>
      <c r="D40" s="2"/>
      <c r="E40" s="2"/>
      <c r="F40" s="2"/>
    </row>
    <row r="41" spans="1:6" x14ac:dyDescent="0.25">
      <c r="A41" s="2" t="s">
        <v>33</v>
      </c>
      <c r="B41" s="2">
        <f>-50000000</f>
        <v>-50000000</v>
      </c>
      <c r="C41" s="2"/>
      <c r="D41" s="2"/>
      <c r="E41" s="2"/>
      <c r="F41" s="2"/>
    </row>
    <row r="42" spans="1:6" x14ac:dyDescent="0.25">
      <c r="A42" s="2" t="s">
        <v>34</v>
      </c>
      <c r="B42" s="2">
        <f>B40+B41</f>
        <v>-525000000</v>
      </c>
      <c r="C42" s="2"/>
      <c r="D42" s="2"/>
      <c r="E42" s="2"/>
      <c r="F42" s="2"/>
    </row>
    <row r="44" spans="1:6" x14ac:dyDescent="0.25">
      <c r="A44" s="1" t="s">
        <v>35</v>
      </c>
    </row>
    <row r="45" spans="1:6" x14ac:dyDescent="0.25">
      <c r="A45" s="2"/>
      <c r="B45" s="2" t="s">
        <v>1</v>
      </c>
      <c r="C45" s="2" t="s">
        <v>2</v>
      </c>
      <c r="D45" s="2" t="s">
        <v>3</v>
      </c>
      <c r="E45" s="2" t="s">
        <v>4</v>
      </c>
      <c r="F45" s="2" t="s">
        <v>5</v>
      </c>
    </row>
    <row r="46" spans="1:6" x14ac:dyDescent="0.25">
      <c r="A46" s="2" t="s">
        <v>58</v>
      </c>
      <c r="B46" s="2"/>
      <c r="C46" s="2"/>
      <c r="D46" s="2"/>
      <c r="E46" s="2"/>
      <c r="F46" s="2">
        <f>(0.25*475000000)*0.79</f>
        <v>93812500</v>
      </c>
    </row>
    <row r="47" spans="1:6" x14ac:dyDescent="0.25">
      <c r="A47" s="2" t="s">
        <v>36</v>
      </c>
      <c r="B47" s="2"/>
      <c r="C47" s="2"/>
      <c r="D47" s="2"/>
      <c r="E47" s="2"/>
      <c r="F47" s="2">
        <f>52000000*0.79</f>
        <v>41080000</v>
      </c>
    </row>
    <row r="49" spans="1:9" x14ac:dyDescent="0.25">
      <c r="A49" t="s">
        <v>37</v>
      </c>
    </row>
    <row r="51" spans="1:9" x14ac:dyDescent="0.25">
      <c r="A51" s="3" t="s">
        <v>38</v>
      </c>
      <c r="B51" s="2" t="s">
        <v>39</v>
      </c>
      <c r="C51" s="2" t="s">
        <v>40</v>
      </c>
      <c r="D51" s="2" t="s">
        <v>41</v>
      </c>
      <c r="E51" s="2" t="s">
        <v>42</v>
      </c>
      <c r="F51" s="2" t="s">
        <v>43</v>
      </c>
      <c r="G51" s="2" t="s">
        <v>44</v>
      </c>
      <c r="H51" s="2" t="s">
        <v>45</v>
      </c>
      <c r="I51" s="2" t="s">
        <v>46</v>
      </c>
    </row>
    <row r="52" spans="1:9" x14ac:dyDescent="0.25">
      <c r="A52" s="2" t="s">
        <v>1</v>
      </c>
      <c r="B52" s="2">
        <f>B42</f>
        <v>-525000000</v>
      </c>
      <c r="C52" s="2">
        <f>B25</f>
        <v>35550000</v>
      </c>
      <c r="D52" s="2">
        <f>B34</f>
        <v>-294599999.99999988</v>
      </c>
      <c r="E52" s="2">
        <v>0</v>
      </c>
      <c r="F52" s="2"/>
      <c r="G52" s="2">
        <f>B52+C52+D52+E52</f>
        <v>-784049999.99999988</v>
      </c>
      <c r="H52" s="2">
        <f>1/(1.13^0)</f>
        <v>1</v>
      </c>
      <c r="I52" s="2">
        <f>G52*H52</f>
        <v>-784049999.99999988</v>
      </c>
    </row>
    <row r="53" spans="1:9" x14ac:dyDescent="0.25">
      <c r="A53" s="2" t="s">
        <v>2</v>
      </c>
      <c r="B53" s="2"/>
      <c r="C53" s="2"/>
      <c r="D53" s="2">
        <f>C34</f>
        <v>13860600</v>
      </c>
      <c r="E53" s="2">
        <f>C15</f>
        <v>501054725</v>
      </c>
      <c r="F53" s="2"/>
      <c r="G53" s="2">
        <f t="shared" ref="G53:G55" si="11">B53+C53+D53+E53</f>
        <v>514915325</v>
      </c>
      <c r="H53" s="2">
        <f>1/(1.13^1)</f>
        <v>0.88495575221238942</v>
      </c>
      <c r="I53" s="2">
        <f t="shared" ref="I53:I56" si="12">G53*H53</f>
        <v>455677278.76106197</v>
      </c>
    </row>
    <row r="54" spans="1:9" x14ac:dyDescent="0.25">
      <c r="A54" s="2" t="s">
        <v>3</v>
      </c>
      <c r="B54" s="2"/>
      <c r="C54" s="2"/>
      <c r="D54" s="2">
        <f>D34</f>
        <v>351958945.19999981</v>
      </c>
      <c r="E54" s="2">
        <f>D15</f>
        <v>504455525</v>
      </c>
      <c r="F54" s="2"/>
      <c r="G54" s="2">
        <f t="shared" si="11"/>
        <v>856414470.19999981</v>
      </c>
      <c r="H54" s="2">
        <f>1/(1.13^2)</f>
        <v>0.78314668337379612</v>
      </c>
      <c r="I54" s="2">
        <f t="shared" si="12"/>
        <v>670698151.93045664</v>
      </c>
    </row>
    <row r="55" spans="1:9" x14ac:dyDescent="0.25">
      <c r="A55" s="2" t="s">
        <v>4</v>
      </c>
      <c r="B55" s="2"/>
      <c r="C55" s="2"/>
      <c r="D55" s="2">
        <f>E34</f>
        <v>364609961.19999975</v>
      </c>
      <c r="E55" s="2">
        <f>E15</f>
        <v>505606043.60000002</v>
      </c>
      <c r="F55" s="2"/>
      <c r="G55" s="2">
        <f t="shared" si="11"/>
        <v>870216004.79999971</v>
      </c>
      <c r="H55" s="2">
        <f>1/(1.13^3)</f>
        <v>0.69305016227769578</v>
      </c>
      <c r="I55" s="2">
        <f t="shared" si="12"/>
        <v>603103343.34328794</v>
      </c>
    </row>
    <row r="56" spans="1:9" x14ac:dyDescent="0.25">
      <c r="A56" s="2" t="s">
        <v>5</v>
      </c>
      <c r="B56" s="2"/>
      <c r="C56" s="2"/>
      <c r="D56" s="2">
        <f>F34</f>
        <v>364609961.19999975</v>
      </c>
      <c r="E56" s="2">
        <f>F15</f>
        <v>-447841899</v>
      </c>
      <c r="F56" s="2">
        <f>F47+F46</f>
        <v>134892500</v>
      </c>
      <c r="G56" s="2">
        <f>B56+C56+D56+E56</f>
        <v>-83231937.80000025</v>
      </c>
      <c r="H56" s="2">
        <f>1/(1.13^4)</f>
        <v>0.61331872767937679</v>
      </c>
      <c r="I56" s="2">
        <f t="shared" si="12"/>
        <v>-51047706.193785183</v>
      </c>
    </row>
    <row r="57" spans="1:9" x14ac:dyDescent="0.25">
      <c r="A57" s="2"/>
      <c r="B57" s="2"/>
      <c r="C57" s="2"/>
      <c r="D57" s="2"/>
      <c r="E57" s="2"/>
      <c r="F57" s="2"/>
      <c r="G57" s="2"/>
      <c r="H57" s="3" t="s">
        <v>47</v>
      </c>
      <c r="I57" s="3">
        <f>I52+I53+I54+I55+I56</f>
        <v>894381067.84102154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6F01-9E20-41F7-98B3-3A241C732385}">
  <dimension ref="B2:J213"/>
  <sheetViews>
    <sheetView topLeftCell="A206" workbookViewId="0">
      <selection activeCell="C217" sqref="C217"/>
    </sheetView>
  </sheetViews>
  <sheetFormatPr defaultRowHeight="15" x14ac:dyDescent="0.25"/>
  <cols>
    <col min="1" max="1" width="9.140625" style="20"/>
    <col min="2" max="2" width="38.28515625" style="20" customWidth="1"/>
    <col min="3" max="3" width="20" style="20" bestFit="1" customWidth="1"/>
    <col min="4" max="4" width="11.85546875" style="20" bestFit="1" customWidth="1"/>
    <col min="5" max="5" width="15.28515625" style="20" bestFit="1" customWidth="1"/>
    <col min="6" max="9" width="12" style="20" bestFit="1" customWidth="1"/>
    <col min="10" max="10" width="18" style="20" bestFit="1" customWidth="1"/>
    <col min="11" max="16384" width="9.140625" style="20"/>
  </cols>
  <sheetData>
    <row r="2" spans="2:3" x14ac:dyDescent="0.25">
      <c r="B2" s="1" t="s">
        <v>75</v>
      </c>
    </row>
    <row r="3" spans="2:3" x14ac:dyDescent="0.25">
      <c r="B3" s="21" t="s">
        <v>76</v>
      </c>
      <c r="C3" s="21">
        <v>1.5</v>
      </c>
    </row>
    <row r="4" spans="2:3" x14ac:dyDescent="0.25">
      <c r="B4" s="21" t="s">
        <v>77</v>
      </c>
      <c r="C4" s="22">
        <v>0.02</v>
      </c>
    </row>
    <row r="5" spans="2:3" ht="15.75" thickBot="1" x14ac:dyDescent="0.3">
      <c r="B5" s="23" t="s">
        <v>78</v>
      </c>
      <c r="C5" s="24">
        <v>0.04</v>
      </c>
    </row>
    <row r="6" spans="2:3" ht="15.75" thickBot="1" x14ac:dyDescent="0.3">
      <c r="B6" s="18" t="s">
        <v>79</v>
      </c>
      <c r="C6" s="19">
        <f>C4+(C3*C5)</f>
        <v>0.08</v>
      </c>
    </row>
    <row r="8" spans="2:3" x14ac:dyDescent="0.25">
      <c r="B8" s="1" t="s">
        <v>80</v>
      </c>
    </row>
    <row r="9" spans="2:3" x14ac:dyDescent="0.25">
      <c r="B9" s="21" t="s">
        <v>88</v>
      </c>
      <c r="C9" s="25" t="s">
        <v>81</v>
      </c>
    </row>
    <row r="10" spans="2:3" x14ac:dyDescent="0.25">
      <c r="B10" s="21"/>
      <c r="C10" s="21"/>
    </row>
    <row r="11" spans="2:3" x14ac:dyDescent="0.25">
      <c r="B11" s="21" t="s">
        <v>82</v>
      </c>
      <c r="C11" s="26">
        <v>120000000000</v>
      </c>
    </row>
    <row r="12" spans="2:3" x14ac:dyDescent="0.25">
      <c r="B12" s="21" t="s">
        <v>83</v>
      </c>
      <c r="C12" s="26">
        <f>0.93*C11</f>
        <v>111600000000</v>
      </c>
    </row>
    <row r="13" spans="2:3" x14ac:dyDescent="0.25">
      <c r="B13" s="21" t="s">
        <v>84</v>
      </c>
      <c r="C13" s="27">
        <v>15</v>
      </c>
    </row>
    <row r="14" spans="2:3" x14ac:dyDescent="0.25">
      <c r="B14" s="21" t="s">
        <v>85</v>
      </c>
      <c r="C14" s="28">
        <v>0.08</v>
      </c>
    </row>
    <row r="15" spans="2:3" x14ac:dyDescent="0.25">
      <c r="B15" s="21" t="s">
        <v>86</v>
      </c>
      <c r="C15" s="29">
        <f>IFERROR(C11*C14/C17,"")</f>
        <v>9600000000</v>
      </c>
    </row>
    <row r="16" spans="2:3" x14ac:dyDescent="0.25">
      <c r="B16" s="21" t="str">
        <f>"Number of Periods "&amp;IF(C9="",C9,"("&amp;C9&amp;")")</f>
        <v>Number of Periods (Annual)</v>
      </c>
      <c r="C16" s="30">
        <f>IFERROR(C13*C17,"")</f>
        <v>15</v>
      </c>
    </row>
    <row r="17" spans="2:6" x14ac:dyDescent="0.25">
      <c r="B17" s="21" t="s">
        <v>87</v>
      </c>
      <c r="C17" s="30">
        <f>IFERROR(IF(C9=INDEX('[1]--&gt;Additional Information'!A6:A10,MATCH(C9,'[1]--&gt;Additional Information'!A6:A10,0)),INDEX('[1]--&gt;Additional Information'!B6:B10,MATCH(C9,'[1]--&gt;Additional Information'!A6:A10,0))),"")</f>
        <v>1</v>
      </c>
    </row>
    <row r="18" spans="2:6" x14ac:dyDescent="0.25">
      <c r="B18" s="21"/>
      <c r="C18" s="21"/>
    </row>
    <row r="19" spans="2:6" ht="15.75" thickBot="1" x14ac:dyDescent="0.3">
      <c r="B19" s="23" t="str">
        <f>C9&amp;IF(C9="",""," ")&amp;"Periodic Rate"</f>
        <v>Annual Periodic Rate</v>
      </c>
      <c r="C19" s="39">
        <f>IFERROR(RATE(C16,C15,-C12,C11,0),"")</f>
        <v>8.8613149766513771E-2</v>
      </c>
    </row>
    <row r="20" spans="2:6" ht="15.75" thickBot="1" x14ac:dyDescent="0.3">
      <c r="B20" s="18" t="s">
        <v>80</v>
      </c>
      <c r="C20" s="38">
        <f>IFERROR(C17*C19,"")</f>
        <v>8.8613149766513771E-2</v>
      </c>
    </row>
    <row r="22" spans="2:6" x14ac:dyDescent="0.25">
      <c r="B22" s="1" t="s">
        <v>89</v>
      </c>
    </row>
    <row r="23" spans="2:6" x14ac:dyDescent="0.25">
      <c r="B23" s="21" t="s">
        <v>90</v>
      </c>
      <c r="C23" s="33">
        <v>4</v>
      </c>
    </row>
    <row r="24" spans="2:6" ht="15.75" thickBot="1" x14ac:dyDescent="0.3">
      <c r="B24" s="35" t="s">
        <v>91</v>
      </c>
      <c r="C24" s="36">
        <v>55</v>
      </c>
    </row>
    <row r="25" spans="2:6" ht="15.75" thickBot="1" x14ac:dyDescent="0.3">
      <c r="B25" s="37" t="s">
        <v>89</v>
      </c>
      <c r="C25" s="38">
        <f>C23/C24</f>
        <v>7.2727272727272724E-2</v>
      </c>
    </row>
    <row r="28" spans="2:6" x14ac:dyDescent="0.25">
      <c r="B28" s="32" t="s">
        <v>92</v>
      </c>
    </row>
    <row r="29" spans="2:6" x14ac:dyDescent="0.25">
      <c r="B29" s="34" t="s">
        <v>96</v>
      </c>
      <c r="C29" s="34" t="s">
        <v>93</v>
      </c>
      <c r="D29" s="21" t="s">
        <v>94</v>
      </c>
      <c r="E29" s="21" t="s">
        <v>95</v>
      </c>
      <c r="F29" s="21" t="s">
        <v>92</v>
      </c>
    </row>
    <row r="30" spans="2:6" x14ac:dyDescent="0.25">
      <c r="B30" s="34" t="s">
        <v>97</v>
      </c>
      <c r="C30" s="21">
        <v>6000000000</v>
      </c>
      <c r="D30" s="40">
        <f>C30/$C$33</f>
        <v>4.7430830039525688E-2</v>
      </c>
      <c r="E30" s="31">
        <f>C6</f>
        <v>0.08</v>
      </c>
      <c r="F30" s="31">
        <f>D30*E30</f>
        <v>3.7944664031620552E-3</v>
      </c>
    </row>
    <row r="31" spans="2:6" x14ac:dyDescent="0.25">
      <c r="B31" s="34" t="s">
        <v>98</v>
      </c>
      <c r="C31" s="21">
        <v>120000000000</v>
      </c>
      <c r="D31" s="40">
        <f t="shared" ref="D31:D32" si="0">C31/$C$33</f>
        <v>0.9486166007905138</v>
      </c>
      <c r="E31" s="31">
        <f>C20</f>
        <v>8.8613149766513771E-2</v>
      </c>
      <c r="F31" s="31">
        <f>(D31*E31)*0.79</f>
        <v>6.6407324884312294E-2</v>
      </c>
    </row>
    <row r="32" spans="2:6" ht="15.75" thickBot="1" x14ac:dyDescent="0.3">
      <c r="B32" s="34" t="s">
        <v>99</v>
      </c>
      <c r="C32" s="21">
        <v>500000000</v>
      </c>
      <c r="D32" s="40">
        <f t="shared" si="0"/>
        <v>3.952569169960474E-3</v>
      </c>
      <c r="E32" s="31">
        <f>C25</f>
        <v>7.2727272727272724E-2</v>
      </c>
      <c r="F32" s="39">
        <f t="shared" ref="F31:F32" si="1">D32*E32</f>
        <v>2.8745957599712538E-4</v>
      </c>
    </row>
    <row r="33" spans="2:10" ht="15.75" thickBot="1" x14ac:dyDescent="0.3">
      <c r="B33" s="34" t="s">
        <v>44</v>
      </c>
      <c r="C33" s="21">
        <f>C30+C31+C32</f>
        <v>126500000000</v>
      </c>
      <c r="D33" s="40">
        <f>C33/$C$33</f>
        <v>1</v>
      </c>
      <c r="E33" s="41"/>
      <c r="F33" s="42">
        <f>F30+F31+F32</f>
        <v>7.0489250863471478E-2</v>
      </c>
    </row>
    <row r="37" spans="2:10" x14ac:dyDescent="0.25">
      <c r="B37" t="s">
        <v>48</v>
      </c>
      <c r="C37"/>
      <c r="D37"/>
      <c r="E37"/>
      <c r="F37"/>
      <c r="G37"/>
      <c r="H37"/>
      <c r="I37"/>
      <c r="J37"/>
    </row>
    <row r="38" spans="2:10" x14ac:dyDescent="0.25">
      <c r="B38"/>
      <c r="C38"/>
      <c r="D38"/>
      <c r="E38"/>
      <c r="F38"/>
      <c r="G38"/>
      <c r="H38"/>
      <c r="I38"/>
      <c r="J38"/>
    </row>
    <row r="39" spans="2:10" x14ac:dyDescent="0.25">
      <c r="B39" s="1" t="s">
        <v>0</v>
      </c>
      <c r="C39"/>
      <c r="D39"/>
      <c r="E39"/>
      <c r="F39"/>
      <c r="G39"/>
      <c r="H39"/>
      <c r="I39"/>
      <c r="J39"/>
    </row>
    <row r="40" spans="2:10" x14ac:dyDescent="0.25">
      <c r="B40" s="2"/>
      <c r="C40" s="2" t="s">
        <v>1</v>
      </c>
      <c r="D40" s="2" t="s">
        <v>2</v>
      </c>
      <c r="E40" s="2" t="s">
        <v>3</v>
      </c>
      <c r="F40" s="2" t="s">
        <v>4</v>
      </c>
      <c r="G40" s="2" t="s">
        <v>5</v>
      </c>
      <c r="H40"/>
      <c r="I40"/>
      <c r="J40"/>
    </row>
    <row r="41" spans="2:10" x14ac:dyDescent="0.25">
      <c r="B41" s="2" t="s">
        <v>6</v>
      </c>
      <c r="C41" s="2"/>
      <c r="D41" s="2">
        <v>6000000</v>
      </c>
      <c r="E41" s="2">
        <f>D41*1.05</f>
        <v>6300000</v>
      </c>
      <c r="F41" s="2">
        <f>E41*1.1</f>
        <v>6930000.0000000009</v>
      </c>
      <c r="G41" s="2">
        <v>3500000</v>
      </c>
      <c r="H41"/>
      <c r="I41"/>
      <c r="J41"/>
    </row>
    <row r="42" spans="2:10" x14ac:dyDescent="0.25">
      <c r="B42" s="2" t="s">
        <v>7</v>
      </c>
      <c r="C42" s="2"/>
      <c r="D42" s="2">
        <v>895</v>
      </c>
      <c r="E42" s="2">
        <f>D42*1.02</f>
        <v>912.9</v>
      </c>
      <c r="F42" s="2">
        <f>E42*1.02</f>
        <v>931.15800000000002</v>
      </c>
      <c r="G42" s="2">
        <v>700</v>
      </c>
      <c r="H42"/>
      <c r="I42"/>
      <c r="J42"/>
    </row>
    <row r="43" spans="2:10" x14ac:dyDescent="0.25">
      <c r="B43" s="2" t="s">
        <v>9</v>
      </c>
      <c r="C43" s="2"/>
      <c r="D43" s="2">
        <f>D41*D42</f>
        <v>5370000000</v>
      </c>
      <c r="E43" s="2">
        <f>E41*E42</f>
        <v>5751270000</v>
      </c>
      <c r="F43" s="2">
        <f t="shared" ref="F43:G43" si="2">F41*F42</f>
        <v>6452924940.000001</v>
      </c>
      <c r="G43" s="2">
        <f t="shared" si="2"/>
        <v>2450000000</v>
      </c>
      <c r="H43"/>
      <c r="I43"/>
      <c r="J43"/>
    </row>
    <row r="44" spans="2:10" x14ac:dyDescent="0.25">
      <c r="B44" s="2" t="s">
        <v>8</v>
      </c>
      <c r="C44" s="2"/>
      <c r="D44" s="2">
        <v>800</v>
      </c>
      <c r="E44" s="2">
        <f>D44*1.03</f>
        <v>824</v>
      </c>
      <c r="F44" s="2">
        <f t="shared" ref="F44:G44" si="3">E44*1.03</f>
        <v>848.72</v>
      </c>
      <c r="G44" s="2">
        <f t="shared" si="3"/>
        <v>874.1816</v>
      </c>
      <c r="H44"/>
      <c r="I44"/>
      <c r="J44"/>
    </row>
    <row r="45" spans="2:10" x14ac:dyDescent="0.25">
      <c r="B45" s="2" t="s">
        <v>10</v>
      </c>
      <c r="C45" s="2"/>
      <c r="D45" s="2">
        <f>D41*D44</f>
        <v>4800000000</v>
      </c>
      <c r="E45" s="2">
        <f t="shared" ref="E45:G45" si="4">E41*E44</f>
        <v>5191200000</v>
      </c>
      <c r="F45" s="2">
        <f t="shared" si="4"/>
        <v>5881629600.000001</v>
      </c>
      <c r="G45" s="2">
        <f t="shared" si="4"/>
        <v>3059635600</v>
      </c>
      <c r="H45"/>
      <c r="I45"/>
      <c r="J45"/>
    </row>
    <row r="46" spans="2:10" x14ac:dyDescent="0.25">
      <c r="B46" s="2" t="s">
        <v>11</v>
      </c>
      <c r="C46" s="2"/>
      <c r="D46" s="2">
        <f>D43-D45</f>
        <v>570000000</v>
      </c>
      <c r="E46" s="2">
        <f t="shared" ref="E46" si="5">E43-E45</f>
        <v>560070000</v>
      </c>
      <c r="F46" s="2">
        <f>F43-F45</f>
        <v>571295340</v>
      </c>
      <c r="G46" s="2">
        <f>G43-G45</f>
        <v>-609635600</v>
      </c>
      <c r="H46"/>
      <c r="I46"/>
      <c r="J46"/>
    </row>
    <row r="47" spans="2:10" x14ac:dyDescent="0.25">
      <c r="B47" s="2" t="s">
        <v>12</v>
      </c>
      <c r="C47" s="2"/>
      <c r="D47" s="2">
        <f>0.1429*525000000</f>
        <v>75022500</v>
      </c>
      <c r="E47" s="2">
        <f>0.2449*525000000</f>
        <v>128572500</v>
      </c>
      <c r="F47" s="2">
        <f>0.1749*525000000</f>
        <v>91822500</v>
      </c>
      <c r="G47" s="2">
        <f>0.1249*525000000</f>
        <v>65572500</v>
      </c>
      <c r="H47"/>
      <c r="I47"/>
      <c r="J47"/>
    </row>
    <row r="48" spans="2:10" x14ac:dyDescent="0.25">
      <c r="B48" s="2" t="s">
        <v>13</v>
      </c>
      <c r="C48" s="2"/>
      <c r="D48" s="2">
        <f>(D46-D47)*0.21</f>
        <v>103945275</v>
      </c>
      <c r="E48" s="2">
        <f t="shared" ref="E48:G48" si="6">(E46-E47)*0.21</f>
        <v>90614475</v>
      </c>
      <c r="F48" s="2">
        <f t="shared" si="6"/>
        <v>100689296.39999999</v>
      </c>
      <c r="G48" s="2">
        <f t="shared" si="6"/>
        <v>-141793701</v>
      </c>
      <c r="H48"/>
      <c r="I48"/>
      <c r="J48"/>
    </row>
    <row r="49" spans="2:10" x14ac:dyDescent="0.25">
      <c r="B49" s="2" t="s">
        <v>14</v>
      </c>
      <c r="C49" s="2"/>
      <c r="D49" s="2">
        <f>D46-D48</f>
        <v>466054725</v>
      </c>
      <c r="E49" s="2">
        <f t="shared" ref="E49:G49" si="7">E46-E48</f>
        <v>469455525</v>
      </c>
      <c r="F49" s="2">
        <f t="shared" si="7"/>
        <v>470606043.60000002</v>
      </c>
      <c r="G49" s="2">
        <f t="shared" si="7"/>
        <v>-467841899</v>
      </c>
      <c r="H49"/>
      <c r="I49"/>
      <c r="J49"/>
    </row>
    <row r="50" spans="2:10" x14ac:dyDescent="0.25">
      <c r="B50" s="2" t="s">
        <v>15</v>
      </c>
      <c r="C50" s="2"/>
      <c r="D50" s="2">
        <v>35000000</v>
      </c>
      <c r="E50" s="2">
        <v>35000000</v>
      </c>
      <c r="F50" s="2">
        <v>35000000</v>
      </c>
      <c r="G50" s="2">
        <v>20000000</v>
      </c>
      <c r="H50"/>
      <c r="I50"/>
      <c r="J50"/>
    </row>
    <row r="51" spans="2:10" x14ac:dyDescent="0.25">
      <c r="B51" s="2" t="s">
        <v>16</v>
      </c>
      <c r="C51" s="2"/>
      <c r="D51" s="2">
        <f>D49+D50</f>
        <v>501054725</v>
      </c>
      <c r="E51" s="2">
        <f t="shared" ref="E51:G51" si="8">E49+E50</f>
        <v>504455525</v>
      </c>
      <c r="F51" s="2">
        <f t="shared" si="8"/>
        <v>505606043.60000002</v>
      </c>
      <c r="G51" s="2">
        <f t="shared" si="8"/>
        <v>-447841899</v>
      </c>
      <c r="H51"/>
      <c r="I51"/>
      <c r="J51"/>
    </row>
    <row r="52" spans="2:10" x14ac:dyDescent="0.25">
      <c r="B52"/>
      <c r="C52"/>
      <c r="D52"/>
      <c r="E52"/>
      <c r="F52"/>
      <c r="G52"/>
      <c r="H52"/>
      <c r="I52"/>
      <c r="J52"/>
    </row>
    <row r="53" spans="2:10" x14ac:dyDescent="0.25">
      <c r="B53" t="s">
        <v>17</v>
      </c>
      <c r="C53"/>
      <c r="D53"/>
      <c r="E53"/>
      <c r="F53"/>
      <c r="G53"/>
      <c r="H53"/>
      <c r="I53"/>
      <c r="J53"/>
    </row>
    <row r="54" spans="2:10" x14ac:dyDescent="0.25">
      <c r="B54" t="s">
        <v>18</v>
      </c>
      <c r="C54"/>
      <c r="D54"/>
      <c r="E54"/>
      <c r="F54"/>
      <c r="G54"/>
      <c r="H54"/>
      <c r="I54"/>
      <c r="J54"/>
    </row>
    <row r="55" spans="2:10" x14ac:dyDescent="0.25">
      <c r="B55" t="s">
        <v>19</v>
      </c>
      <c r="C55"/>
      <c r="D55"/>
      <c r="E55"/>
      <c r="F55"/>
      <c r="G55"/>
      <c r="H55"/>
      <c r="I55"/>
      <c r="J55"/>
    </row>
    <row r="56" spans="2:10" x14ac:dyDescent="0.25">
      <c r="B56" t="s">
        <v>20</v>
      </c>
      <c r="C56"/>
      <c r="D56"/>
      <c r="E56"/>
      <c r="F56"/>
      <c r="G56"/>
      <c r="H56"/>
      <c r="I56"/>
      <c r="J56"/>
    </row>
    <row r="57" spans="2:10" x14ac:dyDescent="0.25">
      <c r="B57" t="s">
        <v>21</v>
      </c>
      <c r="C57"/>
      <c r="D57"/>
      <c r="E57"/>
      <c r="F57"/>
      <c r="G57"/>
      <c r="H57"/>
      <c r="I57"/>
      <c r="J57"/>
    </row>
    <row r="58" spans="2:10" x14ac:dyDescent="0.25">
      <c r="B58"/>
      <c r="C58"/>
      <c r="D58"/>
      <c r="E58"/>
      <c r="F58"/>
      <c r="G58"/>
      <c r="H58"/>
      <c r="I58"/>
      <c r="J58"/>
    </row>
    <row r="59" spans="2:10" x14ac:dyDescent="0.25">
      <c r="B59" s="1" t="s">
        <v>22</v>
      </c>
      <c r="C59"/>
      <c r="D59"/>
      <c r="E59"/>
      <c r="F59"/>
      <c r="G59"/>
      <c r="H59"/>
      <c r="I59"/>
      <c r="J59"/>
    </row>
    <row r="60" spans="2:10" x14ac:dyDescent="0.25">
      <c r="B60" s="2"/>
      <c r="C60" s="2" t="s">
        <v>1</v>
      </c>
      <c r="D60" s="2" t="s">
        <v>2</v>
      </c>
      <c r="E60" s="2" t="s">
        <v>3</v>
      </c>
      <c r="F60" s="2" t="s">
        <v>4</v>
      </c>
      <c r="G60" s="2" t="s">
        <v>5</v>
      </c>
      <c r="H60"/>
      <c r="I60"/>
      <c r="J60"/>
    </row>
    <row r="61" spans="2:10" x14ac:dyDescent="0.25">
      <c r="B61" s="2" t="s">
        <v>23</v>
      </c>
      <c r="C61" s="2">
        <f>45000000*0.79</f>
        <v>35550000</v>
      </c>
      <c r="D61" s="2"/>
      <c r="E61" s="2"/>
      <c r="F61" s="2"/>
      <c r="G61" s="2"/>
      <c r="H61"/>
      <c r="I61"/>
      <c r="J61"/>
    </row>
    <row r="62" spans="2:10" x14ac:dyDescent="0.25">
      <c r="B62"/>
      <c r="C62"/>
      <c r="D62"/>
      <c r="E62"/>
      <c r="F62"/>
      <c r="G62"/>
      <c r="H62"/>
      <c r="I62"/>
      <c r="J62"/>
    </row>
    <row r="63" spans="2:10" x14ac:dyDescent="0.25">
      <c r="B63" t="s">
        <v>29</v>
      </c>
      <c r="C63"/>
      <c r="D63"/>
      <c r="E63"/>
      <c r="F63"/>
      <c r="G63"/>
      <c r="H63"/>
      <c r="I63"/>
      <c r="J63"/>
    </row>
    <row r="64" spans="2:10" x14ac:dyDescent="0.25">
      <c r="B64"/>
      <c r="C64"/>
      <c r="D64"/>
      <c r="E64"/>
      <c r="F64"/>
      <c r="G64"/>
      <c r="H64"/>
      <c r="I64"/>
      <c r="J64"/>
    </row>
    <row r="65" spans="2:10" x14ac:dyDescent="0.25">
      <c r="B65" s="1" t="s">
        <v>24</v>
      </c>
      <c r="C65"/>
      <c r="D65"/>
      <c r="E65"/>
      <c r="F65"/>
      <c r="G65"/>
      <c r="H65"/>
      <c r="I65"/>
      <c r="J65"/>
    </row>
    <row r="66" spans="2:10" x14ac:dyDescent="0.25">
      <c r="B66" s="2"/>
      <c r="C66" s="2" t="s">
        <v>1</v>
      </c>
      <c r="D66" s="2" t="s">
        <v>2</v>
      </c>
      <c r="E66" s="2" t="s">
        <v>3</v>
      </c>
      <c r="F66" s="2" t="s">
        <v>4</v>
      </c>
      <c r="G66" s="2" t="s">
        <v>5</v>
      </c>
      <c r="H66"/>
      <c r="I66"/>
      <c r="J66"/>
    </row>
    <row r="67" spans="2:10" x14ac:dyDescent="0.25">
      <c r="B67" s="2" t="s">
        <v>25</v>
      </c>
      <c r="C67" s="2">
        <f>0.18*D43</f>
        <v>966600000</v>
      </c>
      <c r="D67" s="2">
        <f t="shared" ref="D67:G67" si="9">0.18*E43</f>
        <v>1035228600</v>
      </c>
      <c r="E67" s="2">
        <f t="shared" si="9"/>
        <v>1161526489.2</v>
      </c>
      <c r="F67" s="2">
        <f t="shared" si="9"/>
        <v>441000000</v>
      </c>
      <c r="G67" s="2">
        <f t="shared" si="9"/>
        <v>0</v>
      </c>
      <c r="H67"/>
      <c r="I67"/>
      <c r="J67"/>
    </row>
    <row r="68" spans="2:10" x14ac:dyDescent="0.25">
      <c r="B68" s="2" t="s">
        <v>26</v>
      </c>
      <c r="C68" s="2">
        <f>0.14*D45</f>
        <v>672000000.00000012</v>
      </c>
      <c r="D68" s="2">
        <f t="shared" ref="D68:G68" si="10">0.14*E45</f>
        <v>726768000.00000012</v>
      </c>
      <c r="E68" s="2">
        <f t="shared" si="10"/>
        <v>823428144.00000024</v>
      </c>
      <c r="F68" s="2">
        <f t="shared" si="10"/>
        <v>428348984.00000006</v>
      </c>
      <c r="G68" s="2">
        <f t="shared" si="10"/>
        <v>0</v>
      </c>
      <c r="H68"/>
      <c r="I68"/>
      <c r="J68"/>
    </row>
    <row r="69" spans="2:10" x14ac:dyDescent="0.25">
      <c r="B69" s="2" t="s">
        <v>27</v>
      </c>
      <c r="C69" s="2">
        <f>C67-C68</f>
        <v>294599999.99999988</v>
      </c>
      <c r="D69" s="2">
        <f t="shared" ref="D69:G69" si="11">D67-D68</f>
        <v>308460599.99999988</v>
      </c>
      <c r="E69" s="2">
        <f t="shared" si="11"/>
        <v>338098345.19999981</v>
      </c>
      <c r="F69" s="2">
        <f t="shared" si="11"/>
        <v>12651015.99999994</v>
      </c>
      <c r="G69" s="2">
        <f t="shared" si="11"/>
        <v>0</v>
      </c>
      <c r="H69"/>
      <c r="I69"/>
      <c r="J69"/>
    </row>
    <row r="70" spans="2:10" x14ac:dyDescent="0.25">
      <c r="B70" s="2" t="s">
        <v>28</v>
      </c>
      <c r="C70" s="2">
        <f>-C69</f>
        <v>-294599999.99999988</v>
      </c>
      <c r="D70" s="2">
        <f>C70+D69</f>
        <v>13860600</v>
      </c>
      <c r="E70" s="2">
        <f t="shared" ref="E70:G70" si="12">D70+E69</f>
        <v>351958945.19999981</v>
      </c>
      <c r="F70" s="2">
        <f t="shared" si="12"/>
        <v>364609961.19999975</v>
      </c>
      <c r="G70" s="2">
        <f t="shared" si="12"/>
        <v>364609961.19999975</v>
      </c>
      <c r="H70"/>
      <c r="I70"/>
      <c r="J70"/>
    </row>
    <row r="71" spans="2:10" x14ac:dyDescent="0.25">
      <c r="B71"/>
      <c r="C71"/>
      <c r="D71"/>
      <c r="E71"/>
      <c r="F71"/>
      <c r="G71"/>
      <c r="H71"/>
      <c r="I71"/>
      <c r="J71"/>
    </row>
    <row r="72" spans="2:10" x14ac:dyDescent="0.25">
      <c r="B72" t="s">
        <v>30</v>
      </c>
      <c r="C72"/>
      <c r="D72"/>
      <c r="E72"/>
      <c r="F72"/>
      <c r="G72"/>
      <c r="H72"/>
      <c r="I72"/>
      <c r="J72"/>
    </row>
    <row r="73" spans="2:10" x14ac:dyDescent="0.25">
      <c r="B73"/>
      <c r="C73"/>
      <c r="D73"/>
      <c r="E73"/>
      <c r="F73"/>
      <c r="G73"/>
      <c r="H73"/>
      <c r="I73"/>
      <c r="J73"/>
    </row>
    <row r="74" spans="2:10" x14ac:dyDescent="0.25">
      <c r="B74" s="1" t="s">
        <v>31</v>
      </c>
      <c r="C74"/>
      <c r="D74"/>
      <c r="E74"/>
      <c r="F74"/>
      <c r="G74"/>
      <c r="H74"/>
      <c r="I74"/>
      <c r="J74"/>
    </row>
    <row r="75" spans="2:10" x14ac:dyDescent="0.25">
      <c r="B75" s="2"/>
      <c r="C75" s="2" t="s">
        <v>1</v>
      </c>
      <c r="D75" s="2" t="s">
        <v>2</v>
      </c>
      <c r="E75" s="2" t="s">
        <v>3</v>
      </c>
      <c r="F75" s="2" t="s">
        <v>4</v>
      </c>
      <c r="G75" s="2" t="s">
        <v>5</v>
      </c>
      <c r="H75"/>
      <c r="I75"/>
      <c r="J75"/>
    </row>
    <row r="76" spans="2:10" x14ac:dyDescent="0.25">
      <c r="B76" s="2" t="s">
        <v>32</v>
      </c>
      <c r="C76" s="2">
        <f>-475000000</f>
        <v>-475000000</v>
      </c>
      <c r="D76" s="2"/>
      <c r="E76" s="2"/>
      <c r="F76" s="2"/>
      <c r="G76" s="2"/>
      <c r="H76"/>
      <c r="I76"/>
      <c r="J76"/>
    </row>
    <row r="77" spans="2:10" x14ac:dyDescent="0.25">
      <c r="B77" s="2" t="s">
        <v>33</v>
      </c>
      <c r="C77" s="2">
        <f>-50000000</f>
        <v>-50000000</v>
      </c>
      <c r="D77" s="2"/>
      <c r="E77" s="2"/>
      <c r="F77" s="2"/>
      <c r="G77" s="2"/>
      <c r="H77"/>
      <c r="I77"/>
      <c r="J77"/>
    </row>
    <row r="78" spans="2:10" x14ac:dyDescent="0.25">
      <c r="B78" s="2" t="s">
        <v>34</v>
      </c>
      <c r="C78" s="2">
        <f>C76+C77</f>
        <v>-525000000</v>
      </c>
      <c r="D78" s="2"/>
      <c r="E78" s="2"/>
      <c r="F78" s="2"/>
      <c r="G78" s="2"/>
      <c r="H78"/>
      <c r="I78"/>
      <c r="J78"/>
    </row>
    <row r="79" spans="2:10" x14ac:dyDescent="0.25">
      <c r="B79"/>
      <c r="C79"/>
      <c r="D79"/>
      <c r="E79"/>
      <c r="F79"/>
      <c r="G79"/>
      <c r="H79"/>
      <c r="I79"/>
      <c r="J79"/>
    </row>
    <row r="80" spans="2:10" x14ac:dyDescent="0.25">
      <c r="B80" s="1" t="s">
        <v>35</v>
      </c>
      <c r="C80"/>
      <c r="D80"/>
      <c r="E80"/>
      <c r="F80"/>
      <c r="G80"/>
      <c r="H80"/>
      <c r="I80"/>
      <c r="J80"/>
    </row>
    <row r="81" spans="2:10" x14ac:dyDescent="0.25">
      <c r="B81" s="2"/>
      <c r="C81" s="2" t="s">
        <v>1</v>
      </c>
      <c r="D81" s="2" t="s">
        <v>2</v>
      </c>
      <c r="E81" s="2" t="s">
        <v>3</v>
      </c>
      <c r="F81" s="2" t="s">
        <v>4</v>
      </c>
      <c r="G81" s="2" t="s">
        <v>5</v>
      </c>
      <c r="H81"/>
      <c r="I81"/>
      <c r="J81"/>
    </row>
    <row r="82" spans="2:10" x14ac:dyDescent="0.25">
      <c r="B82" s="2" t="s">
        <v>58</v>
      </c>
      <c r="C82" s="2"/>
      <c r="D82" s="2"/>
      <c r="E82" s="2"/>
      <c r="F82" s="2"/>
      <c r="G82" s="2">
        <f>(0.25*475000000)*0.79</f>
        <v>93812500</v>
      </c>
      <c r="H82"/>
      <c r="I82"/>
      <c r="J82"/>
    </row>
    <row r="83" spans="2:10" x14ac:dyDescent="0.25">
      <c r="B83" s="2" t="s">
        <v>36</v>
      </c>
      <c r="C83" s="2"/>
      <c r="D83" s="2"/>
      <c r="E83" s="2"/>
      <c r="F83" s="2"/>
      <c r="G83" s="2">
        <f>52000000*0.79</f>
        <v>41080000</v>
      </c>
      <c r="H83"/>
      <c r="I83"/>
      <c r="J83"/>
    </row>
    <row r="84" spans="2:10" x14ac:dyDescent="0.25">
      <c r="B84"/>
      <c r="C84"/>
      <c r="D84"/>
      <c r="E84"/>
      <c r="F84"/>
      <c r="G84"/>
      <c r="H84"/>
      <c r="I84"/>
      <c r="J84"/>
    </row>
    <row r="85" spans="2:10" x14ac:dyDescent="0.25">
      <c r="B85" t="s">
        <v>37</v>
      </c>
      <c r="C85"/>
      <c r="D85"/>
      <c r="E85"/>
      <c r="F85"/>
      <c r="G85"/>
      <c r="H85"/>
      <c r="I85"/>
      <c r="J85"/>
    </row>
    <row r="86" spans="2:10" x14ac:dyDescent="0.25">
      <c r="B86"/>
      <c r="C86"/>
      <c r="D86"/>
      <c r="E86"/>
      <c r="F86"/>
      <c r="G86"/>
      <c r="H86"/>
      <c r="I86"/>
      <c r="J86"/>
    </row>
    <row r="87" spans="2:10" x14ac:dyDescent="0.25">
      <c r="B87" s="3" t="s">
        <v>38</v>
      </c>
      <c r="C87" s="2" t="s">
        <v>39</v>
      </c>
      <c r="D87" s="2" t="s">
        <v>40</v>
      </c>
      <c r="E87" s="2" t="s">
        <v>41</v>
      </c>
      <c r="F87" s="2" t="s">
        <v>42</v>
      </c>
      <c r="G87" s="2" t="s">
        <v>43</v>
      </c>
      <c r="H87" s="2" t="s">
        <v>44</v>
      </c>
      <c r="I87" s="2" t="s">
        <v>45</v>
      </c>
      <c r="J87" s="2" t="s">
        <v>46</v>
      </c>
    </row>
    <row r="88" spans="2:10" x14ac:dyDescent="0.25">
      <c r="B88" s="2" t="s">
        <v>1</v>
      </c>
      <c r="C88" s="2">
        <f>C78</f>
        <v>-525000000</v>
      </c>
      <c r="D88" s="2">
        <f>C61</f>
        <v>35550000</v>
      </c>
      <c r="E88" s="2">
        <f>C70</f>
        <v>-294599999.99999988</v>
      </c>
      <c r="F88" s="2">
        <v>0</v>
      </c>
      <c r="G88" s="2"/>
      <c r="H88" s="2">
        <f>C88+D88+E88+F88</f>
        <v>-784049999.99999988</v>
      </c>
      <c r="I88" s="2">
        <f>1/((1+$F$33)^0)</f>
        <v>1</v>
      </c>
      <c r="J88" s="2">
        <f>H88*I88</f>
        <v>-784049999.99999988</v>
      </c>
    </row>
    <row r="89" spans="2:10" x14ac:dyDescent="0.25">
      <c r="B89" s="2" t="s">
        <v>2</v>
      </c>
      <c r="C89" s="2"/>
      <c r="D89" s="2"/>
      <c r="E89" s="2">
        <f>D70</f>
        <v>13860600</v>
      </c>
      <c r="F89" s="2">
        <f>D51</f>
        <v>501054725</v>
      </c>
      <c r="G89" s="2"/>
      <c r="H89" s="2">
        <f t="shared" ref="H89:H91" si="13">C89+D89+E89+F89</f>
        <v>514915325</v>
      </c>
      <c r="I89" s="2">
        <f>1/((1+$F$33)^1)</f>
        <v>0.93415230390532744</v>
      </c>
      <c r="J89" s="2">
        <f t="shared" ref="J89:J92" si="14">H89*I89</f>
        <v>481009337.16491044</v>
      </c>
    </row>
    <row r="90" spans="2:10" x14ac:dyDescent="0.25">
      <c r="B90" s="2" t="s">
        <v>3</v>
      </c>
      <c r="C90" s="2"/>
      <c r="D90" s="2"/>
      <c r="E90" s="2">
        <f>E70</f>
        <v>351958945.19999981</v>
      </c>
      <c r="F90" s="2">
        <f>E51</f>
        <v>504455525</v>
      </c>
      <c r="G90" s="2"/>
      <c r="H90" s="2">
        <f t="shared" si="13"/>
        <v>856414470.19999981</v>
      </c>
      <c r="I90" s="2">
        <f>1/((1+$F$33)^2)</f>
        <v>0.87264052689163119</v>
      </c>
      <c r="J90" s="2">
        <f t="shared" si="14"/>
        <v>747341974.51294506</v>
      </c>
    </row>
    <row r="91" spans="2:10" x14ac:dyDescent="0.25">
      <c r="B91" s="2" t="s">
        <v>4</v>
      </c>
      <c r="C91" s="2"/>
      <c r="D91" s="2"/>
      <c r="E91" s="2">
        <f>F70</f>
        <v>364609961.19999975</v>
      </c>
      <c r="F91" s="2">
        <f>F51</f>
        <v>505606043.60000002</v>
      </c>
      <c r="G91" s="2"/>
      <c r="H91" s="2">
        <f t="shared" si="13"/>
        <v>870216004.79999971</v>
      </c>
      <c r="I91" s="2">
        <f>1/((1+$F$33)^3)</f>
        <v>0.81517915867697599</v>
      </c>
      <c r="J91" s="2">
        <f t="shared" si="14"/>
        <v>709381950.66010308</v>
      </c>
    </row>
    <row r="92" spans="2:10" x14ac:dyDescent="0.25">
      <c r="B92" s="2" t="s">
        <v>5</v>
      </c>
      <c r="C92" s="2"/>
      <c r="D92" s="2"/>
      <c r="E92" s="2">
        <f>G70</f>
        <v>364609961.19999975</v>
      </c>
      <c r="F92" s="2">
        <f>G51</f>
        <v>-447841899</v>
      </c>
      <c r="G92" s="2">
        <f>G83+G82</f>
        <v>134892500</v>
      </c>
      <c r="H92" s="2">
        <f>C92+D92+E92+F92</f>
        <v>-83231937.80000025</v>
      </c>
      <c r="I92" s="2">
        <f>1/((1+$F$33)^4)</f>
        <v>0.76150148917370364</v>
      </c>
      <c r="J92" s="2">
        <f t="shared" si="14"/>
        <v>-63381244.581513263</v>
      </c>
    </row>
    <row r="93" spans="2:10" x14ac:dyDescent="0.25">
      <c r="B93" s="2"/>
      <c r="C93" s="2"/>
      <c r="D93" s="2"/>
      <c r="E93" s="2"/>
      <c r="F93" s="2"/>
      <c r="G93" s="2"/>
      <c r="H93" s="2"/>
      <c r="I93" s="3" t="s">
        <v>47</v>
      </c>
      <c r="J93" s="3">
        <f>J88+J89+J90+J91+J92</f>
        <v>1090302017.7564456</v>
      </c>
    </row>
    <row r="94" spans="2:10" x14ac:dyDescent="0.25">
      <c r="B94"/>
      <c r="C94"/>
      <c r="D94"/>
      <c r="E94"/>
      <c r="F94"/>
      <c r="G94"/>
      <c r="H94"/>
      <c r="I94"/>
      <c r="J94"/>
    </row>
    <row r="95" spans="2:10" x14ac:dyDescent="0.25">
      <c r="B95" s="1" t="s">
        <v>65</v>
      </c>
      <c r="C95"/>
      <c r="D95"/>
      <c r="E95"/>
      <c r="F95"/>
      <c r="G95"/>
      <c r="H95"/>
      <c r="I95"/>
      <c r="J95"/>
    </row>
    <row r="96" spans="2:10" x14ac:dyDescent="0.25">
      <c r="B96" s="17" t="s">
        <v>67</v>
      </c>
      <c r="C96"/>
      <c r="D96"/>
      <c r="E96"/>
      <c r="F96"/>
      <c r="G96"/>
      <c r="H96"/>
      <c r="I96"/>
      <c r="J96"/>
    </row>
    <row r="97" spans="2:10" x14ac:dyDescent="0.25">
      <c r="B97" s="16"/>
      <c r="C97"/>
      <c r="D97"/>
      <c r="E97"/>
      <c r="F97"/>
      <c r="G97"/>
      <c r="H97"/>
      <c r="I97"/>
      <c r="J97"/>
    </row>
    <row r="98" spans="2:10" x14ac:dyDescent="0.25">
      <c r="B98" t="s">
        <v>63</v>
      </c>
      <c r="C98"/>
      <c r="D98"/>
      <c r="E98"/>
      <c r="F98"/>
      <c r="G98"/>
      <c r="H98"/>
      <c r="I98"/>
      <c r="J98"/>
    </row>
    <row r="99" spans="2:10" x14ac:dyDescent="0.25">
      <c r="B99"/>
      <c r="C99"/>
      <c r="D99"/>
      <c r="E99"/>
      <c r="F99"/>
      <c r="G99"/>
      <c r="H99"/>
      <c r="I99"/>
      <c r="J99"/>
    </row>
    <row r="100" spans="2:10" x14ac:dyDescent="0.25">
      <c r="B100" s="1" t="s">
        <v>0</v>
      </c>
      <c r="C100"/>
      <c r="D100"/>
      <c r="E100"/>
      <c r="F100"/>
      <c r="G100"/>
      <c r="H100"/>
      <c r="I100"/>
      <c r="J100"/>
    </row>
    <row r="101" spans="2:10" x14ac:dyDescent="0.25">
      <c r="B101" s="2"/>
      <c r="C101" s="2" t="s">
        <v>1</v>
      </c>
      <c r="D101" s="2" t="s">
        <v>2</v>
      </c>
      <c r="E101" s="2" t="s">
        <v>3</v>
      </c>
      <c r="F101" s="2" t="s">
        <v>4</v>
      </c>
      <c r="G101" s="2" t="s">
        <v>5</v>
      </c>
      <c r="H101"/>
      <c r="I101"/>
      <c r="J101"/>
    </row>
    <row r="102" spans="2:10" x14ac:dyDescent="0.25">
      <c r="B102" s="2" t="s">
        <v>6</v>
      </c>
      <c r="C102" s="2"/>
      <c r="D102" s="2">
        <v>6000000</v>
      </c>
      <c r="E102" s="2">
        <f>D102*1.05</f>
        <v>6300000</v>
      </c>
      <c r="F102" s="2">
        <f>E102*1.1</f>
        <v>6930000.0000000009</v>
      </c>
      <c r="G102" s="2">
        <v>3500000</v>
      </c>
      <c r="H102"/>
      <c r="I102"/>
      <c r="J102"/>
    </row>
    <row r="103" spans="2:10" x14ac:dyDescent="0.25">
      <c r="B103" s="2" t="s">
        <v>7</v>
      </c>
      <c r="C103" s="2"/>
      <c r="D103" s="2">
        <v>895</v>
      </c>
      <c r="E103" s="2">
        <f>D103*1.02</f>
        <v>912.9</v>
      </c>
      <c r="F103" s="2">
        <f>E103*1.02</f>
        <v>931.15800000000002</v>
      </c>
      <c r="G103" s="2">
        <f xml:space="preserve"> (0.6*700)+(0.18*745)+(0.22*650)</f>
        <v>697.1</v>
      </c>
      <c r="H103"/>
      <c r="I103"/>
      <c r="J103"/>
    </row>
    <row r="104" spans="2:10" x14ac:dyDescent="0.25">
      <c r="B104" s="2" t="s">
        <v>9</v>
      </c>
      <c r="C104" s="2"/>
      <c r="D104" s="2">
        <f>D102*D103</f>
        <v>5370000000</v>
      </c>
      <c r="E104" s="2">
        <f>E102*E103</f>
        <v>5751270000</v>
      </c>
      <c r="F104" s="2">
        <f t="shared" ref="F104:G104" si="15">F102*F103</f>
        <v>6452924940.000001</v>
      </c>
      <c r="G104" s="2">
        <f t="shared" si="15"/>
        <v>2439850000</v>
      </c>
      <c r="H104"/>
      <c r="I104"/>
      <c r="J104"/>
    </row>
    <row r="105" spans="2:10" x14ac:dyDescent="0.25">
      <c r="B105" s="2" t="s">
        <v>8</v>
      </c>
      <c r="C105" s="2"/>
      <c r="D105" s="2">
        <v>800</v>
      </c>
      <c r="E105" s="2">
        <f>D105*1.03</f>
        <v>824</v>
      </c>
      <c r="F105" s="2">
        <f t="shared" ref="F105:G105" si="16">E105*1.03</f>
        <v>848.72</v>
      </c>
      <c r="G105" s="2">
        <f t="shared" si="16"/>
        <v>874.1816</v>
      </c>
      <c r="H105"/>
      <c r="I105"/>
      <c r="J105"/>
    </row>
    <row r="106" spans="2:10" x14ac:dyDescent="0.25">
      <c r="B106" s="2" t="s">
        <v>10</v>
      </c>
      <c r="C106" s="2"/>
      <c r="D106" s="2">
        <f>D102*D105</f>
        <v>4800000000</v>
      </c>
      <c r="E106" s="2">
        <f t="shared" ref="E106:G106" si="17">E102*E105</f>
        <v>5191200000</v>
      </c>
      <c r="F106" s="2">
        <f t="shared" si="17"/>
        <v>5881629600.000001</v>
      </c>
      <c r="G106" s="2">
        <f t="shared" si="17"/>
        <v>3059635600</v>
      </c>
      <c r="H106"/>
      <c r="I106"/>
      <c r="J106"/>
    </row>
    <row r="107" spans="2:10" x14ac:dyDescent="0.25">
      <c r="B107" s="2" t="s">
        <v>11</v>
      </c>
      <c r="C107" s="2"/>
      <c r="D107" s="2">
        <f>D104-D106</f>
        <v>570000000</v>
      </c>
      <c r="E107" s="2">
        <f t="shared" ref="E107" si="18">E104-E106</f>
        <v>560070000</v>
      </c>
      <c r="F107" s="2">
        <f>F104-F106</f>
        <v>571295340</v>
      </c>
      <c r="G107" s="2">
        <f>G104-G106</f>
        <v>-619785600</v>
      </c>
      <c r="H107"/>
      <c r="I107"/>
      <c r="J107"/>
    </row>
    <row r="108" spans="2:10" x14ac:dyDescent="0.25">
      <c r="B108" s="2" t="s">
        <v>12</v>
      </c>
      <c r="C108" s="2"/>
      <c r="D108" s="2">
        <f>0.1429*525000000</f>
        <v>75022500</v>
      </c>
      <c r="E108" s="2">
        <f>0.2449*525000000</f>
        <v>128572500</v>
      </c>
      <c r="F108" s="2">
        <f>0.1749*525000000</f>
        <v>91822500</v>
      </c>
      <c r="G108" s="2">
        <f>0.1249*525000000</f>
        <v>65572500</v>
      </c>
      <c r="H108"/>
      <c r="I108"/>
      <c r="J108"/>
    </row>
    <row r="109" spans="2:10" x14ac:dyDescent="0.25">
      <c r="B109" s="2" t="s">
        <v>13</v>
      </c>
      <c r="C109" s="2"/>
      <c r="D109" s="2">
        <f>(D107-D108)*0.21</f>
        <v>103945275</v>
      </c>
      <c r="E109" s="2">
        <f t="shared" ref="E109:G109" si="19">(E107-E108)*0.21</f>
        <v>90614475</v>
      </c>
      <c r="F109" s="2">
        <f t="shared" si="19"/>
        <v>100689296.39999999</v>
      </c>
      <c r="G109" s="2">
        <f t="shared" si="19"/>
        <v>-143925201</v>
      </c>
      <c r="H109"/>
      <c r="I109"/>
      <c r="J109"/>
    </row>
    <row r="110" spans="2:10" x14ac:dyDescent="0.25">
      <c r="B110" s="2" t="s">
        <v>14</v>
      </c>
      <c r="C110" s="2"/>
      <c r="D110" s="2">
        <f>D107-D109</f>
        <v>466054725</v>
      </c>
      <c r="E110" s="2">
        <f t="shared" ref="E110:G110" si="20">E107-E109</f>
        <v>469455525</v>
      </c>
      <c r="F110" s="2">
        <f t="shared" si="20"/>
        <v>470606043.60000002</v>
      </c>
      <c r="G110" s="2">
        <f t="shared" si="20"/>
        <v>-475860399</v>
      </c>
      <c r="H110"/>
      <c r="I110"/>
      <c r="J110"/>
    </row>
    <row r="111" spans="2:10" x14ac:dyDescent="0.25">
      <c r="B111" s="2" t="s">
        <v>15</v>
      </c>
      <c r="C111" s="2"/>
      <c r="D111" s="2">
        <v>35000000</v>
      </c>
      <c r="E111" s="2">
        <v>35000000</v>
      </c>
      <c r="F111" s="2">
        <v>35000000</v>
      </c>
      <c r="G111" s="2">
        <v>20000000</v>
      </c>
      <c r="H111"/>
      <c r="I111"/>
      <c r="J111"/>
    </row>
    <row r="112" spans="2:10" x14ac:dyDescent="0.25">
      <c r="B112" s="2" t="s">
        <v>16</v>
      </c>
      <c r="C112" s="2"/>
      <c r="D112" s="2">
        <f>D110+D111</f>
        <v>501054725</v>
      </c>
      <c r="E112" s="2">
        <f t="shared" ref="E112:G112" si="21">E110+E111</f>
        <v>504455525</v>
      </c>
      <c r="F112" s="2">
        <f t="shared" si="21"/>
        <v>505606043.60000002</v>
      </c>
      <c r="G112" s="2">
        <f t="shared" si="21"/>
        <v>-455860399</v>
      </c>
      <c r="H112"/>
      <c r="I112"/>
      <c r="J112"/>
    </row>
    <row r="113" spans="2:10" x14ac:dyDescent="0.25">
      <c r="B113"/>
      <c r="C113"/>
      <c r="D113"/>
      <c r="E113"/>
      <c r="F113"/>
      <c r="G113"/>
      <c r="H113"/>
      <c r="I113"/>
      <c r="J113"/>
    </row>
    <row r="114" spans="2:10" x14ac:dyDescent="0.25">
      <c r="B114" s="1" t="s">
        <v>64</v>
      </c>
      <c r="C114"/>
      <c r="D114"/>
      <c r="E114"/>
      <c r="F114"/>
      <c r="G114"/>
      <c r="H114"/>
      <c r="I114"/>
      <c r="J114"/>
    </row>
    <row r="115" spans="2:10" x14ac:dyDescent="0.25">
      <c r="B115" t="s">
        <v>17</v>
      </c>
      <c r="C115"/>
      <c r="D115"/>
      <c r="E115"/>
      <c r="F115"/>
      <c r="G115"/>
      <c r="H115"/>
      <c r="I115"/>
      <c r="J115"/>
    </row>
    <row r="116" spans="2:10" x14ac:dyDescent="0.25">
      <c r="B116" t="s">
        <v>18</v>
      </c>
      <c r="C116"/>
      <c r="D116"/>
      <c r="E116"/>
      <c r="F116"/>
      <c r="G116"/>
      <c r="H116"/>
      <c r="I116"/>
      <c r="J116"/>
    </row>
    <row r="117" spans="2:10" x14ac:dyDescent="0.25">
      <c r="B117" t="s">
        <v>19</v>
      </c>
      <c r="C117"/>
      <c r="D117"/>
      <c r="E117"/>
      <c r="F117"/>
      <c r="G117"/>
      <c r="H117"/>
      <c r="I117"/>
      <c r="J117"/>
    </row>
    <row r="118" spans="2:10" x14ac:dyDescent="0.25">
      <c r="B118" t="s">
        <v>20</v>
      </c>
      <c r="C118"/>
      <c r="D118"/>
      <c r="E118"/>
      <c r="F118"/>
      <c r="G118"/>
      <c r="H118"/>
      <c r="I118"/>
      <c r="J118"/>
    </row>
    <row r="119" spans="2:10" x14ac:dyDescent="0.25">
      <c r="B119" t="s">
        <v>21</v>
      </c>
      <c r="C119"/>
      <c r="D119"/>
      <c r="E119"/>
      <c r="F119"/>
      <c r="G119"/>
      <c r="H119"/>
      <c r="I119"/>
      <c r="J119"/>
    </row>
    <row r="120" spans="2:10" x14ac:dyDescent="0.25">
      <c r="B120"/>
      <c r="C120"/>
      <c r="D120"/>
      <c r="E120"/>
      <c r="F120"/>
      <c r="G120"/>
      <c r="H120"/>
      <c r="I120"/>
      <c r="J120"/>
    </row>
    <row r="121" spans="2:10" x14ac:dyDescent="0.25">
      <c r="B121" s="1" t="s">
        <v>22</v>
      </c>
      <c r="C121"/>
      <c r="D121"/>
      <c r="E121"/>
      <c r="F121"/>
      <c r="G121"/>
      <c r="H121"/>
      <c r="I121"/>
      <c r="J121"/>
    </row>
    <row r="122" spans="2:10" x14ac:dyDescent="0.25">
      <c r="B122" s="2"/>
      <c r="C122" s="2" t="s">
        <v>1</v>
      </c>
      <c r="D122" s="2" t="s">
        <v>2</v>
      </c>
      <c r="E122" s="2" t="s">
        <v>3</v>
      </c>
      <c r="F122" s="2" t="s">
        <v>4</v>
      </c>
      <c r="G122" s="2" t="s">
        <v>5</v>
      </c>
      <c r="H122"/>
      <c r="I122"/>
      <c r="J122"/>
    </row>
    <row r="123" spans="2:10" x14ac:dyDescent="0.25">
      <c r="B123" s="2" t="s">
        <v>23</v>
      </c>
      <c r="C123" s="2">
        <f>45000000*0.79</f>
        <v>35550000</v>
      </c>
      <c r="D123" s="2"/>
      <c r="E123" s="2"/>
      <c r="F123" s="2"/>
      <c r="G123" s="2"/>
      <c r="H123"/>
      <c r="I123"/>
      <c r="J123"/>
    </row>
    <row r="124" spans="2:10" x14ac:dyDescent="0.25">
      <c r="B124"/>
      <c r="C124"/>
      <c r="D124"/>
      <c r="E124"/>
      <c r="F124"/>
      <c r="G124"/>
      <c r="H124"/>
      <c r="I124"/>
      <c r="J124"/>
    </row>
    <row r="125" spans="2:10" x14ac:dyDescent="0.25">
      <c r="B125" t="s">
        <v>29</v>
      </c>
      <c r="C125"/>
      <c r="D125"/>
      <c r="E125"/>
      <c r="F125"/>
      <c r="G125"/>
      <c r="H125"/>
      <c r="I125"/>
      <c r="J125"/>
    </row>
    <row r="126" spans="2:10" x14ac:dyDescent="0.25">
      <c r="B126"/>
      <c r="C126"/>
      <c r="D126"/>
      <c r="E126"/>
      <c r="F126"/>
      <c r="G126"/>
      <c r="H126"/>
      <c r="I126"/>
      <c r="J126"/>
    </row>
    <row r="127" spans="2:10" x14ac:dyDescent="0.25">
      <c r="B127" s="1" t="s">
        <v>24</v>
      </c>
      <c r="C127"/>
      <c r="D127"/>
      <c r="E127"/>
      <c r="F127"/>
      <c r="G127"/>
      <c r="H127"/>
      <c r="I127"/>
      <c r="J127"/>
    </row>
    <row r="128" spans="2:10" x14ac:dyDescent="0.25">
      <c r="B128" s="2"/>
      <c r="C128" s="2" t="s">
        <v>1</v>
      </c>
      <c r="D128" s="2" t="s">
        <v>2</v>
      </c>
      <c r="E128" s="2" t="s">
        <v>3</v>
      </c>
      <c r="F128" s="2" t="s">
        <v>4</v>
      </c>
      <c r="G128" s="2" t="s">
        <v>5</v>
      </c>
      <c r="H128"/>
      <c r="I128"/>
      <c r="J128"/>
    </row>
    <row r="129" spans="2:10" x14ac:dyDescent="0.25">
      <c r="B129" s="2" t="s">
        <v>25</v>
      </c>
      <c r="C129" s="2">
        <f>0.18*D104</f>
        <v>966600000</v>
      </c>
      <c r="D129" s="2">
        <f t="shared" ref="D129:G129" si="22">0.18*E104</f>
        <v>1035228600</v>
      </c>
      <c r="E129" s="2">
        <f t="shared" si="22"/>
        <v>1161526489.2</v>
      </c>
      <c r="F129" s="2">
        <f t="shared" si="22"/>
        <v>439173000</v>
      </c>
      <c r="G129" s="2">
        <f t="shared" si="22"/>
        <v>0</v>
      </c>
      <c r="H129"/>
      <c r="I129"/>
      <c r="J129"/>
    </row>
    <row r="130" spans="2:10" x14ac:dyDescent="0.25">
      <c r="B130" s="2" t="s">
        <v>26</v>
      </c>
      <c r="C130" s="2">
        <f>0.14*D106</f>
        <v>672000000.00000012</v>
      </c>
      <c r="D130" s="2">
        <f t="shared" ref="D130:G130" si="23">0.14*E106</f>
        <v>726768000.00000012</v>
      </c>
      <c r="E130" s="2">
        <f t="shared" si="23"/>
        <v>823428144.00000024</v>
      </c>
      <c r="F130" s="2">
        <f t="shared" si="23"/>
        <v>428348984.00000006</v>
      </c>
      <c r="G130" s="2">
        <f t="shared" si="23"/>
        <v>0</v>
      </c>
      <c r="H130"/>
      <c r="I130"/>
      <c r="J130"/>
    </row>
    <row r="131" spans="2:10" x14ac:dyDescent="0.25">
      <c r="B131" s="2" t="s">
        <v>27</v>
      </c>
      <c r="C131" s="2">
        <f>C129-C130</f>
        <v>294599999.99999988</v>
      </c>
      <c r="D131" s="2">
        <f t="shared" ref="D131:G131" si="24">D129-D130</f>
        <v>308460599.99999988</v>
      </c>
      <c r="E131" s="2">
        <f t="shared" si="24"/>
        <v>338098345.19999981</v>
      </c>
      <c r="F131" s="2">
        <f t="shared" si="24"/>
        <v>10824015.99999994</v>
      </c>
      <c r="G131" s="2">
        <f t="shared" si="24"/>
        <v>0</v>
      </c>
      <c r="H131"/>
      <c r="I131"/>
      <c r="J131"/>
    </row>
    <row r="132" spans="2:10" x14ac:dyDescent="0.25">
      <c r="B132" s="2" t="s">
        <v>28</v>
      </c>
      <c r="C132" s="2">
        <f>-C131</f>
        <v>-294599999.99999988</v>
      </c>
      <c r="D132" s="2">
        <f>C132+D131</f>
        <v>13860600</v>
      </c>
      <c r="E132" s="2">
        <f t="shared" ref="E132:G132" si="25">D132+E131</f>
        <v>351958945.19999981</v>
      </c>
      <c r="F132" s="2">
        <f t="shared" si="25"/>
        <v>362782961.19999975</v>
      </c>
      <c r="G132" s="2">
        <f t="shared" si="25"/>
        <v>362782961.19999975</v>
      </c>
      <c r="H132"/>
      <c r="I132"/>
      <c r="J132"/>
    </row>
    <row r="133" spans="2:10" x14ac:dyDescent="0.25">
      <c r="B133"/>
      <c r="C133"/>
      <c r="D133"/>
      <c r="E133"/>
      <c r="F133"/>
      <c r="G133"/>
      <c r="H133"/>
      <c r="I133"/>
      <c r="J133"/>
    </row>
    <row r="134" spans="2:10" x14ac:dyDescent="0.25">
      <c r="B134" t="s">
        <v>30</v>
      </c>
      <c r="C134"/>
      <c r="D134"/>
      <c r="E134"/>
      <c r="F134"/>
      <c r="G134"/>
      <c r="H134"/>
      <c r="I134"/>
      <c r="J134"/>
    </row>
    <row r="135" spans="2:10" x14ac:dyDescent="0.25">
      <c r="B135"/>
      <c r="C135"/>
      <c r="D135"/>
      <c r="E135"/>
      <c r="F135"/>
      <c r="G135"/>
      <c r="H135"/>
      <c r="I135"/>
      <c r="J135"/>
    </row>
    <row r="136" spans="2:10" x14ac:dyDescent="0.25">
      <c r="B136" s="1" t="s">
        <v>31</v>
      </c>
      <c r="C136"/>
      <c r="D136"/>
      <c r="E136"/>
      <c r="F136"/>
      <c r="G136"/>
      <c r="H136"/>
      <c r="I136"/>
      <c r="J136"/>
    </row>
    <row r="137" spans="2:10" x14ac:dyDescent="0.25">
      <c r="B137" s="2"/>
      <c r="C137" s="2" t="s">
        <v>1</v>
      </c>
      <c r="D137" s="2" t="s">
        <v>2</v>
      </c>
      <c r="E137" s="2" t="s">
        <v>3</v>
      </c>
      <c r="F137" s="2" t="s">
        <v>4</v>
      </c>
      <c r="G137" s="2" t="s">
        <v>5</v>
      </c>
      <c r="H137"/>
      <c r="I137"/>
      <c r="J137"/>
    </row>
    <row r="138" spans="2:10" x14ac:dyDescent="0.25">
      <c r="B138" s="2" t="s">
        <v>32</v>
      </c>
      <c r="C138" s="2">
        <f>-475000000</f>
        <v>-475000000</v>
      </c>
      <c r="D138" s="2"/>
      <c r="E138" s="2"/>
      <c r="F138" s="2"/>
      <c r="G138" s="2"/>
      <c r="H138"/>
      <c r="I138"/>
      <c r="J138"/>
    </row>
    <row r="139" spans="2:10" x14ac:dyDescent="0.25">
      <c r="B139" s="2" t="s">
        <v>33</v>
      </c>
      <c r="C139" s="2">
        <f>-50000000</f>
        <v>-50000000</v>
      </c>
      <c r="D139" s="2"/>
      <c r="E139" s="2"/>
      <c r="F139" s="2"/>
      <c r="G139" s="2"/>
      <c r="H139"/>
      <c r="I139"/>
      <c r="J139"/>
    </row>
    <row r="140" spans="2:10" x14ac:dyDescent="0.25">
      <c r="B140" s="2" t="s">
        <v>34</v>
      </c>
      <c r="C140" s="2">
        <f>C138+C139</f>
        <v>-525000000</v>
      </c>
      <c r="D140" s="2"/>
      <c r="E140" s="2"/>
      <c r="F140" s="2"/>
      <c r="G140" s="2"/>
      <c r="H140"/>
      <c r="I140"/>
      <c r="J140"/>
    </row>
    <row r="141" spans="2:10" x14ac:dyDescent="0.25">
      <c r="B141"/>
      <c r="C141"/>
      <c r="D141"/>
      <c r="E141"/>
      <c r="F141"/>
      <c r="G141"/>
      <c r="H141"/>
      <c r="I141"/>
      <c r="J141"/>
    </row>
    <row r="142" spans="2:10" x14ac:dyDescent="0.25">
      <c r="B142" s="1" t="s">
        <v>35</v>
      </c>
      <c r="C142"/>
      <c r="D142"/>
      <c r="E142"/>
      <c r="F142"/>
      <c r="G142"/>
      <c r="H142"/>
      <c r="I142"/>
      <c r="J142"/>
    </row>
    <row r="143" spans="2:10" x14ac:dyDescent="0.25">
      <c r="B143" s="2"/>
      <c r="C143" s="2" t="s">
        <v>1</v>
      </c>
      <c r="D143" s="2" t="s">
        <v>2</v>
      </c>
      <c r="E143" s="2" t="s">
        <v>3</v>
      </c>
      <c r="F143" s="2" t="s">
        <v>4</v>
      </c>
      <c r="G143" s="2" t="s">
        <v>5</v>
      </c>
      <c r="H143"/>
      <c r="I143"/>
      <c r="J143"/>
    </row>
    <row r="144" spans="2:10" x14ac:dyDescent="0.25">
      <c r="B144" s="2" t="s">
        <v>58</v>
      </c>
      <c r="C144" s="2"/>
      <c r="D144" s="2"/>
      <c r="E144" s="2"/>
      <c r="F144" s="2"/>
      <c r="G144" s="2">
        <f>(0.25*475000000)*0.79</f>
        <v>93812500</v>
      </c>
      <c r="H144"/>
      <c r="I144"/>
      <c r="J144"/>
    </row>
    <row r="145" spans="2:10" x14ac:dyDescent="0.25">
      <c r="B145" s="2" t="s">
        <v>36</v>
      </c>
      <c r="C145" s="2"/>
      <c r="D145" s="2"/>
      <c r="E145" s="2"/>
      <c r="F145" s="2"/>
      <c r="G145" s="2">
        <f>52000000*0.79</f>
        <v>41080000</v>
      </c>
      <c r="H145"/>
      <c r="I145"/>
      <c r="J145"/>
    </row>
    <row r="146" spans="2:10" x14ac:dyDescent="0.25">
      <c r="B146"/>
      <c r="C146"/>
      <c r="D146"/>
      <c r="E146"/>
      <c r="F146"/>
      <c r="G146"/>
      <c r="H146"/>
      <c r="I146"/>
      <c r="J146"/>
    </row>
    <row r="147" spans="2:10" x14ac:dyDescent="0.25">
      <c r="B147" t="s">
        <v>37</v>
      </c>
      <c r="C147"/>
      <c r="D147"/>
      <c r="E147"/>
      <c r="F147"/>
      <c r="G147"/>
      <c r="H147"/>
      <c r="I147"/>
      <c r="J147"/>
    </row>
    <row r="148" spans="2:10" x14ac:dyDescent="0.25">
      <c r="B148"/>
      <c r="C148"/>
      <c r="D148"/>
      <c r="E148"/>
      <c r="F148"/>
      <c r="G148"/>
      <c r="H148"/>
      <c r="I148"/>
      <c r="J148"/>
    </row>
    <row r="149" spans="2:10" x14ac:dyDescent="0.25">
      <c r="B149" s="3" t="s">
        <v>38</v>
      </c>
      <c r="C149" s="2" t="s">
        <v>39</v>
      </c>
      <c r="D149" s="2" t="s">
        <v>40</v>
      </c>
      <c r="E149" s="2" t="s">
        <v>41</v>
      </c>
      <c r="F149" s="2" t="s">
        <v>42</v>
      </c>
      <c r="G149" s="2" t="s">
        <v>43</v>
      </c>
      <c r="H149" s="2" t="s">
        <v>44</v>
      </c>
      <c r="I149" s="2" t="s">
        <v>45</v>
      </c>
      <c r="J149" s="2" t="s">
        <v>46</v>
      </c>
    </row>
    <row r="150" spans="2:10" x14ac:dyDescent="0.25">
      <c r="B150" s="2" t="s">
        <v>1</v>
      </c>
      <c r="C150" s="2">
        <f>C140</f>
        <v>-525000000</v>
      </c>
      <c r="D150" s="2">
        <f>C123</f>
        <v>35550000</v>
      </c>
      <c r="E150" s="2">
        <f>C132</f>
        <v>-294599999.99999988</v>
      </c>
      <c r="F150" s="2">
        <v>0</v>
      </c>
      <c r="G150" s="2"/>
      <c r="H150" s="2">
        <f>C150+D150+E150+F150</f>
        <v>-784049999.99999988</v>
      </c>
      <c r="I150" s="2">
        <f>1/((1+$F$33)^0)</f>
        <v>1</v>
      </c>
      <c r="J150" s="2">
        <f>H150*I150</f>
        <v>-784049999.99999988</v>
      </c>
    </row>
    <row r="151" spans="2:10" x14ac:dyDescent="0.25">
      <c r="B151" s="2" t="s">
        <v>2</v>
      </c>
      <c r="C151" s="2"/>
      <c r="D151" s="2"/>
      <c r="E151" s="2">
        <f>D132</f>
        <v>13860600</v>
      </c>
      <c r="F151" s="2">
        <f>D112</f>
        <v>501054725</v>
      </c>
      <c r="G151" s="2"/>
      <c r="H151" s="2">
        <f t="shared" ref="H151:H154" si="26">C151+D151+E151+F151</f>
        <v>514915325</v>
      </c>
      <c r="I151" s="2">
        <f>1/((1+$F$33)^1)</f>
        <v>0.93415230390532744</v>
      </c>
      <c r="J151" s="2">
        <f t="shared" ref="J151:J154" si="27">H151*I151</f>
        <v>481009337.16491044</v>
      </c>
    </row>
    <row r="152" spans="2:10" x14ac:dyDescent="0.25">
      <c r="B152" s="2" t="s">
        <v>3</v>
      </c>
      <c r="C152" s="2"/>
      <c r="D152" s="2"/>
      <c r="E152" s="2">
        <f>E132</f>
        <v>351958945.19999981</v>
      </c>
      <c r="F152" s="2">
        <f>E112</f>
        <v>504455525</v>
      </c>
      <c r="G152" s="2"/>
      <c r="H152" s="2">
        <f t="shared" si="26"/>
        <v>856414470.19999981</v>
      </c>
      <c r="I152" s="2">
        <f>1/((1+$F$33)^2)</f>
        <v>0.87264052689163119</v>
      </c>
      <c r="J152" s="2">
        <f t="shared" si="27"/>
        <v>747341974.51294506</v>
      </c>
    </row>
    <row r="153" spans="2:10" x14ac:dyDescent="0.25">
      <c r="B153" s="2" t="s">
        <v>4</v>
      </c>
      <c r="C153" s="2"/>
      <c r="D153" s="2"/>
      <c r="E153" s="2">
        <f>F132</f>
        <v>362782961.19999975</v>
      </c>
      <c r="F153" s="2">
        <f>F112</f>
        <v>505606043.60000002</v>
      </c>
      <c r="G153" s="2"/>
      <c r="H153" s="2">
        <f t="shared" si="26"/>
        <v>868389004.79999971</v>
      </c>
      <c r="I153" s="2">
        <f>1/((1+$F$33)^3)</f>
        <v>0.81517915867697599</v>
      </c>
      <c r="J153" s="2">
        <f t="shared" si="27"/>
        <v>707892618.33720028</v>
      </c>
    </row>
    <row r="154" spans="2:10" x14ac:dyDescent="0.25">
      <c r="B154" s="2" t="s">
        <v>5</v>
      </c>
      <c r="C154" s="2"/>
      <c r="D154" s="2"/>
      <c r="E154" s="2">
        <f>G132</f>
        <v>362782961.19999975</v>
      </c>
      <c r="F154" s="2">
        <f>G112</f>
        <v>-455860399</v>
      </c>
      <c r="G154" s="2">
        <f>G145+G144</f>
        <v>134892500</v>
      </c>
      <c r="H154" s="2">
        <f>C154+D154+E154+F154</f>
        <v>-93077437.80000025</v>
      </c>
      <c r="I154" s="2">
        <f>1/((1+$F$33)^4)</f>
        <v>0.76150148917370364</v>
      </c>
      <c r="J154" s="2">
        <f t="shared" si="27"/>
        <v>-70878607.493172958</v>
      </c>
    </row>
    <row r="155" spans="2:10" x14ac:dyDescent="0.25">
      <c r="B155" s="2"/>
      <c r="C155" s="2"/>
      <c r="D155" s="2"/>
      <c r="E155" s="2"/>
      <c r="F155" s="2"/>
      <c r="G155" s="2"/>
      <c r="H155" s="2"/>
      <c r="I155" s="3" t="s">
        <v>47</v>
      </c>
      <c r="J155" s="3">
        <f>J150+J151+J152+J153+J154</f>
        <v>1081315322.521883</v>
      </c>
    </row>
    <row r="156" spans="2:10" x14ac:dyDescent="0.25"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2:10" x14ac:dyDescent="0.25">
      <c r="B157" s="1" t="s">
        <v>66</v>
      </c>
      <c r="C157" s="16"/>
      <c r="D157" s="16"/>
      <c r="E157" s="16"/>
      <c r="F157" s="16"/>
      <c r="G157" s="16"/>
      <c r="H157" s="16"/>
      <c r="I157" s="16"/>
      <c r="J157" s="16"/>
    </row>
    <row r="158" spans="2:10" x14ac:dyDescent="0.25">
      <c r="B158" s="17" t="s">
        <v>67</v>
      </c>
      <c r="C158" s="16"/>
      <c r="D158" s="16"/>
      <c r="E158" s="16"/>
      <c r="F158" s="16"/>
      <c r="G158" s="16"/>
      <c r="H158" s="16"/>
      <c r="I158" s="16"/>
      <c r="J158" s="16"/>
    </row>
    <row r="160" spans="2:10" x14ac:dyDescent="0.25">
      <c r="B160" t="s">
        <v>100</v>
      </c>
      <c r="C160"/>
      <c r="D160"/>
      <c r="E160"/>
      <c r="F160"/>
      <c r="G160"/>
      <c r="H160"/>
      <c r="I160"/>
      <c r="J160"/>
    </row>
    <row r="161" spans="2:10" x14ac:dyDescent="0.25">
      <c r="B161"/>
      <c r="C161"/>
      <c r="D161"/>
      <c r="E161"/>
      <c r="F161"/>
      <c r="G161"/>
      <c r="H161"/>
      <c r="I161"/>
      <c r="J161"/>
    </row>
    <row r="162" spans="2:10" x14ac:dyDescent="0.25">
      <c r="B162" s="1" t="s">
        <v>0</v>
      </c>
      <c r="C162"/>
      <c r="D162"/>
      <c r="E162"/>
      <c r="F162"/>
      <c r="G162"/>
      <c r="H162"/>
      <c r="I162"/>
      <c r="J162"/>
    </row>
    <row r="163" spans="2:10" x14ac:dyDescent="0.25">
      <c r="B163" s="2"/>
      <c r="C163" s="2" t="s">
        <v>1</v>
      </c>
      <c r="D163" s="2" t="s">
        <v>2</v>
      </c>
      <c r="E163" s="2" t="s">
        <v>3</v>
      </c>
      <c r="F163" s="2" t="s">
        <v>4</v>
      </c>
      <c r="G163" s="16"/>
      <c r="H163"/>
      <c r="I163"/>
      <c r="J163"/>
    </row>
    <row r="164" spans="2:10" x14ac:dyDescent="0.25">
      <c r="B164" s="2" t="s">
        <v>6</v>
      </c>
      <c r="C164" s="2"/>
      <c r="D164" s="2">
        <v>6000000</v>
      </c>
      <c r="E164" s="2">
        <f>D164*1.05</f>
        <v>6300000</v>
      </c>
      <c r="F164" s="2">
        <f>E164*1.1</f>
        <v>6930000.0000000009</v>
      </c>
      <c r="G164" s="16"/>
      <c r="H164"/>
      <c r="I164"/>
      <c r="J164"/>
    </row>
    <row r="165" spans="2:10" x14ac:dyDescent="0.25">
      <c r="B165" s="2" t="s">
        <v>7</v>
      </c>
      <c r="C165" s="2"/>
      <c r="D165" s="2">
        <v>750</v>
      </c>
      <c r="E165" s="2">
        <v>750</v>
      </c>
      <c r="F165" s="2">
        <v>750</v>
      </c>
      <c r="G165" s="16"/>
      <c r="H165"/>
      <c r="I165"/>
      <c r="J165"/>
    </row>
    <row r="166" spans="2:10" x14ac:dyDescent="0.25">
      <c r="B166" s="2" t="s">
        <v>9</v>
      </c>
      <c r="C166" s="2"/>
      <c r="D166" s="2">
        <f>D164*D165</f>
        <v>4500000000</v>
      </c>
      <c r="E166" s="2">
        <f>E164*E165</f>
        <v>4725000000</v>
      </c>
      <c r="F166" s="2">
        <f t="shared" ref="F166" si="28">F164*F165</f>
        <v>5197500000.000001</v>
      </c>
      <c r="G166" s="16"/>
      <c r="H166"/>
      <c r="I166"/>
      <c r="J166"/>
    </row>
    <row r="167" spans="2:10" x14ac:dyDescent="0.25">
      <c r="B167" s="2" t="s">
        <v>8</v>
      </c>
      <c r="C167" s="2"/>
      <c r="D167" s="2">
        <v>800</v>
      </c>
      <c r="E167" s="2">
        <f>D167*1.03</f>
        <v>824</v>
      </c>
      <c r="F167" s="2">
        <f t="shared" ref="F167" si="29">E167*1.03</f>
        <v>848.72</v>
      </c>
      <c r="G167" s="16"/>
      <c r="H167"/>
      <c r="I167"/>
      <c r="J167"/>
    </row>
    <row r="168" spans="2:10" x14ac:dyDescent="0.25">
      <c r="B168" s="2" t="s">
        <v>10</v>
      </c>
      <c r="C168" s="2"/>
      <c r="D168" s="2">
        <f>D164*D167</f>
        <v>4800000000</v>
      </c>
      <c r="E168" s="2">
        <f t="shared" ref="E168:F168" si="30">E164*E167</f>
        <v>5191200000</v>
      </c>
      <c r="F168" s="2">
        <f t="shared" si="30"/>
        <v>5881629600.000001</v>
      </c>
      <c r="G168" s="16"/>
      <c r="H168"/>
      <c r="I168"/>
      <c r="J168"/>
    </row>
    <row r="169" spans="2:10" x14ac:dyDescent="0.25">
      <c r="B169" s="2" t="s">
        <v>11</v>
      </c>
      <c r="C169" s="2"/>
      <c r="D169" s="2">
        <f>D166-D168</f>
        <v>-300000000</v>
      </c>
      <c r="E169" s="2">
        <f t="shared" ref="E169" si="31">E166-E168</f>
        <v>-466200000</v>
      </c>
      <c r="F169" s="2">
        <f>F166-F168</f>
        <v>-684129600</v>
      </c>
      <c r="G169" s="16"/>
      <c r="H169"/>
      <c r="I169"/>
      <c r="J169"/>
    </row>
    <row r="170" spans="2:10" x14ac:dyDescent="0.25">
      <c r="B170" s="2" t="s">
        <v>12</v>
      </c>
      <c r="C170" s="2"/>
      <c r="D170" s="2">
        <f>3000000/3</f>
        <v>1000000</v>
      </c>
      <c r="E170" s="2">
        <f t="shared" ref="E170:F170" si="32">3000000/3</f>
        <v>1000000</v>
      </c>
      <c r="F170" s="2">
        <f t="shared" si="32"/>
        <v>1000000</v>
      </c>
      <c r="G170" s="16"/>
      <c r="H170"/>
      <c r="I170"/>
      <c r="J170"/>
    </row>
    <row r="171" spans="2:10" x14ac:dyDescent="0.25">
      <c r="B171" s="2" t="s">
        <v>13</v>
      </c>
      <c r="C171" s="2"/>
      <c r="D171" s="2">
        <f>(D169-D170)*0.21</f>
        <v>-63210000</v>
      </c>
      <c r="E171" s="2">
        <f t="shared" ref="E171:F171" si="33">(E169-E170)*0.21</f>
        <v>-98112000</v>
      </c>
      <c r="F171" s="2">
        <f t="shared" si="33"/>
        <v>-143877216</v>
      </c>
      <c r="G171" s="16"/>
      <c r="H171"/>
      <c r="I171"/>
      <c r="J171"/>
    </row>
    <row r="172" spans="2:10" x14ac:dyDescent="0.25">
      <c r="B172" s="2" t="s">
        <v>14</v>
      </c>
      <c r="C172" s="2"/>
      <c r="D172" s="2">
        <f>D169-D171</f>
        <v>-236790000</v>
      </c>
      <c r="E172" s="2">
        <f t="shared" ref="E172:F172" si="34">E169-E171</f>
        <v>-368088000</v>
      </c>
      <c r="F172" s="2">
        <f t="shared" si="34"/>
        <v>-540252384</v>
      </c>
      <c r="G172" s="16"/>
      <c r="H172"/>
      <c r="I172"/>
      <c r="J172"/>
    </row>
    <row r="173" spans="2:10" x14ac:dyDescent="0.25">
      <c r="B173" s="2" t="s">
        <v>15</v>
      </c>
      <c r="C173" s="2"/>
      <c r="D173" s="2">
        <v>35000000</v>
      </c>
      <c r="E173" s="2">
        <v>35000000</v>
      </c>
      <c r="F173" s="2">
        <v>35000000</v>
      </c>
      <c r="G173" s="16"/>
      <c r="H173"/>
      <c r="I173"/>
      <c r="J173"/>
    </row>
    <row r="174" spans="2:10" x14ac:dyDescent="0.25">
      <c r="B174" s="2" t="s">
        <v>16</v>
      </c>
      <c r="C174" s="2"/>
      <c r="D174" s="2">
        <f>D172+D173</f>
        <v>-201790000</v>
      </c>
      <c r="E174" s="2">
        <f t="shared" ref="E174:F174" si="35">E172+E173</f>
        <v>-333088000</v>
      </c>
      <c r="F174" s="2">
        <f t="shared" si="35"/>
        <v>-505252384</v>
      </c>
      <c r="G174" s="16"/>
      <c r="H174"/>
      <c r="I174"/>
      <c r="J174"/>
    </row>
    <row r="175" spans="2:10" x14ac:dyDescent="0.25">
      <c r="B175"/>
      <c r="C175"/>
      <c r="D175"/>
      <c r="E175"/>
      <c r="F175"/>
      <c r="G175"/>
      <c r="H175"/>
      <c r="I175"/>
      <c r="J175"/>
    </row>
    <row r="176" spans="2:10" x14ac:dyDescent="0.25">
      <c r="B176" t="s">
        <v>17</v>
      </c>
      <c r="C176"/>
      <c r="D176"/>
      <c r="E176"/>
      <c r="F176"/>
      <c r="G176"/>
      <c r="H176"/>
      <c r="I176"/>
      <c r="J176"/>
    </row>
    <row r="177" spans="2:10" x14ac:dyDescent="0.25">
      <c r="B177" t="s">
        <v>19</v>
      </c>
      <c r="C177"/>
      <c r="D177"/>
      <c r="E177"/>
      <c r="F177"/>
      <c r="G177"/>
      <c r="H177"/>
      <c r="I177"/>
      <c r="J177"/>
    </row>
    <row r="178" spans="2:10" x14ac:dyDescent="0.25">
      <c r="B178" t="s">
        <v>69</v>
      </c>
      <c r="C178"/>
      <c r="D178"/>
      <c r="E178"/>
      <c r="F178"/>
      <c r="G178"/>
      <c r="H178"/>
      <c r="I178"/>
      <c r="J178"/>
    </row>
    <row r="179" spans="2:10" x14ac:dyDescent="0.25">
      <c r="B179" t="s">
        <v>21</v>
      </c>
      <c r="C179"/>
      <c r="D179"/>
      <c r="E179"/>
      <c r="F179"/>
      <c r="G179"/>
      <c r="H179"/>
      <c r="I179"/>
      <c r="J179"/>
    </row>
    <row r="180" spans="2:10" x14ac:dyDescent="0.25">
      <c r="B180"/>
      <c r="C180"/>
      <c r="D180"/>
      <c r="E180"/>
      <c r="F180"/>
      <c r="G180"/>
      <c r="H180"/>
      <c r="I180"/>
      <c r="J180"/>
    </row>
    <row r="181" spans="2:10" x14ac:dyDescent="0.25">
      <c r="B181" s="1" t="s">
        <v>22</v>
      </c>
      <c r="C181"/>
      <c r="D181"/>
      <c r="E181"/>
      <c r="F181"/>
      <c r="G181"/>
      <c r="H181"/>
      <c r="I181"/>
      <c r="J181"/>
    </row>
    <row r="182" spans="2:10" x14ac:dyDescent="0.25">
      <c r="B182" s="2"/>
      <c r="C182" s="2" t="s">
        <v>1</v>
      </c>
      <c r="D182" s="2" t="s">
        <v>2</v>
      </c>
      <c r="E182" s="2" t="s">
        <v>3</v>
      </c>
      <c r="F182" s="2" t="s">
        <v>4</v>
      </c>
      <c r="G182" s="16"/>
      <c r="H182"/>
      <c r="I182"/>
      <c r="J182"/>
    </row>
    <row r="183" spans="2:10" x14ac:dyDescent="0.25">
      <c r="B183" s="2" t="s">
        <v>23</v>
      </c>
      <c r="C183" s="2">
        <f>45000000*0.79</f>
        <v>35550000</v>
      </c>
      <c r="D183" s="2"/>
      <c r="E183" s="2"/>
      <c r="F183" s="2"/>
      <c r="G183" s="16"/>
      <c r="H183"/>
      <c r="I183"/>
      <c r="J183"/>
    </row>
    <row r="184" spans="2:10" x14ac:dyDescent="0.25">
      <c r="B184"/>
      <c r="C184"/>
      <c r="D184"/>
      <c r="E184"/>
      <c r="F184"/>
      <c r="G184"/>
      <c r="H184"/>
      <c r="I184"/>
      <c r="J184"/>
    </row>
    <row r="185" spans="2:10" x14ac:dyDescent="0.25">
      <c r="B185" t="s">
        <v>29</v>
      </c>
      <c r="C185"/>
      <c r="D185"/>
      <c r="E185"/>
      <c r="F185"/>
      <c r="G185"/>
      <c r="H185"/>
      <c r="I185"/>
      <c r="J185"/>
    </row>
    <row r="186" spans="2:10" x14ac:dyDescent="0.25">
      <c r="B186"/>
      <c r="C186"/>
      <c r="D186"/>
      <c r="E186"/>
      <c r="F186"/>
      <c r="G186"/>
      <c r="H186"/>
      <c r="I186"/>
      <c r="J186"/>
    </row>
    <row r="187" spans="2:10" x14ac:dyDescent="0.25">
      <c r="B187" s="1" t="s">
        <v>24</v>
      </c>
      <c r="C187"/>
      <c r="D187"/>
      <c r="E187"/>
      <c r="F187"/>
      <c r="G187"/>
      <c r="H187"/>
      <c r="I187"/>
      <c r="J187"/>
    </row>
    <row r="188" spans="2:10" x14ac:dyDescent="0.25">
      <c r="B188" s="2"/>
      <c r="C188" s="2" t="s">
        <v>1</v>
      </c>
      <c r="D188" s="2" t="s">
        <v>2</v>
      </c>
      <c r="E188" s="2" t="s">
        <v>3</v>
      </c>
      <c r="F188" s="2" t="s">
        <v>4</v>
      </c>
      <c r="G188" s="16"/>
      <c r="H188"/>
      <c r="I188"/>
      <c r="J188"/>
    </row>
    <row r="189" spans="2:10" x14ac:dyDescent="0.25">
      <c r="B189" s="2" t="s">
        <v>25</v>
      </c>
      <c r="C189" s="2">
        <f>0.18*D166</f>
        <v>810000000</v>
      </c>
      <c r="D189" s="2">
        <f>0.18*E166</f>
        <v>850500000</v>
      </c>
      <c r="E189" s="2">
        <f>0.18*F166</f>
        <v>935550000.00000012</v>
      </c>
      <c r="F189" s="2"/>
      <c r="G189" s="16"/>
      <c r="H189"/>
      <c r="I189"/>
      <c r="J189"/>
    </row>
    <row r="190" spans="2:10" x14ac:dyDescent="0.25">
      <c r="B190" s="2" t="s">
        <v>26</v>
      </c>
      <c r="C190" s="2">
        <f>0.14*D168</f>
        <v>672000000.00000012</v>
      </c>
      <c r="D190" s="2">
        <f>0.14*E168</f>
        <v>726768000.00000012</v>
      </c>
      <c r="E190" s="2">
        <f>0.14*F168</f>
        <v>823428144.00000024</v>
      </c>
      <c r="F190" s="2"/>
      <c r="G190" s="16"/>
      <c r="H190"/>
      <c r="I190"/>
      <c r="J190"/>
    </row>
    <row r="191" spans="2:10" x14ac:dyDescent="0.25">
      <c r="B191" s="2" t="s">
        <v>27</v>
      </c>
      <c r="C191" s="2">
        <f>C189-C190</f>
        <v>137999999.99999988</v>
      </c>
      <c r="D191" s="2">
        <f t="shared" ref="D191:E191" si="36">D189-D190</f>
        <v>123731999.99999988</v>
      </c>
      <c r="E191" s="2">
        <f t="shared" si="36"/>
        <v>112121855.99999988</v>
      </c>
      <c r="F191" s="2"/>
      <c r="G191" s="16"/>
      <c r="H191"/>
      <c r="I191"/>
      <c r="J191"/>
    </row>
    <row r="192" spans="2:10" x14ac:dyDescent="0.25">
      <c r="B192" s="2" t="s">
        <v>28</v>
      </c>
      <c r="C192" s="2">
        <f>-C191</f>
        <v>-137999999.99999988</v>
      </c>
      <c r="D192" s="2">
        <f>C192+D191</f>
        <v>-14268000</v>
      </c>
      <c r="E192" s="2">
        <f t="shared" ref="E192:F192" si="37">D192+E191</f>
        <v>97853855.999999881</v>
      </c>
      <c r="F192" s="2">
        <f t="shared" si="37"/>
        <v>97853855.999999881</v>
      </c>
      <c r="G192" s="16"/>
      <c r="H192"/>
      <c r="I192"/>
      <c r="J192"/>
    </row>
    <row r="193" spans="2:10" x14ac:dyDescent="0.25">
      <c r="B193"/>
      <c r="C193"/>
      <c r="D193"/>
      <c r="E193"/>
      <c r="F193"/>
      <c r="G193"/>
      <c r="H193"/>
      <c r="I193"/>
      <c r="J193"/>
    </row>
    <row r="194" spans="2:10" x14ac:dyDescent="0.25">
      <c r="B194" t="s">
        <v>30</v>
      </c>
      <c r="C194"/>
      <c r="D194"/>
      <c r="E194"/>
      <c r="F194"/>
      <c r="G194"/>
      <c r="H194"/>
      <c r="I194"/>
      <c r="J194"/>
    </row>
    <row r="195" spans="2:10" x14ac:dyDescent="0.25">
      <c r="B195"/>
      <c r="C195"/>
      <c r="D195"/>
      <c r="E195"/>
      <c r="F195"/>
      <c r="G195"/>
      <c r="H195"/>
      <c r="I195"/>
      <c r="J195"/>
    </row>
    <row r="196" spans="2:10" x14ac:dyDescent="0.25">
      <c r="B196" s="1" t="s">
        <v>31</v>
      </c>
      <c r="C196"/>
      <c r="D196"/>
      <c r="E196"/>
      <c r="F196"/>
      <c r="G196"/>
      <c r="H196"/>
      <c r="I196"/>
      <c r="J196"/>
    </row>
    <row r="197" spans="2:10" x14ac:dyDescent="0.25">
      <c r="B197" s="2"/>
      <c r="C197" s="2" t="s">
        <v>1</v>
      </c>
      <c r="D197" s="2" t="s">
        <v>2</v>
      </c>
      <c r="E197" s="2" t="s">
        <v>3</v>
      </c>
      <c r="F197" s="2" t="s">
        <v>4</v>
      </c>
      <c r="G197" s="16"/>
      <c r="H197"/>
      <c r="I197"/>
      <c r="J197"/>
    </row>
    <row r="198" spans="2:10" x14ac:dyDescent="0.25">
      <c r="B198" s="2" t="s">
        <v>34</v>
      </c>
      <c r="C198" s="2">
        <f>-3000000</f>
        <v>-3000000</v>
      </c>
      <c r="D198" s="2"/>
      <c r="E198" s="2"/>
      <c r="F198" s="2"/>
      <c r="G198" s="16"/>
      <c r="H198"/>
      <c r="I198"/>
      <c r="J198"/>
    </row>
    <row r="199" spans="2:10" x14ac:dyDescent="0.25">
      <c r="B199"/>
      <c r="C199"/>
      <c r="D199"/>
      <c r="E199"/>
      <c r="F199"/>
      <c r="G199"/>
      <c r="H199"/>
      <c r="I199"/>
      <c r="J199"/>
    </row>
    <row r="200" spans="2:10" x14ac:dyDescent="0.25">
      <c r="B200" s="1" t="s">
        <v>35</v>
      </c>
      <c r="C200"/>
      <c r="D200"/>
      <c r="E200"/>
      <c r="F200"/>
      <c r="G200"/>
      <c r="H200"/>
      <c r="I200"/>
      <c r="J200"/>
    </row>
    <row r="201" spans="2:10" x14ac:dyDescent="0.25">
      <c r="B201" s="2"/>
      <c r="C201" s="2" t="s">
        <v>1</v>
      </c>
      <c r="D201" s="2" t="s">
        <v>2</v>
      </c>
      <c r="E201" s="2" t="s">
        <v>3</v>
      </c>
      <c r="F201" s="2" t="s">
        <v>4</v>
      </c>
      <c r="G201" s="16"/>
      <c r="H201"/>
      <c r="I201"/>
      <c r="J201"/>
    </row>
    <row r="202" spans="2:10" x14ac:dyDescent="0.25">
      <c r="B202" s="2" t="s">
        <v>36</v>
      </c>
      <c r="C202" s="2"/>
      <c r="D202" s="2"/>
      <c r="E202" s="2"/>
      <c r="F202" s="2"/>
      <c r="G202" s="16"/>
      <c r="H202"/>
      <c r="I202"/>
      <c r="J202"/>
    </row>
    <row r="203" spans="2:10" x14ac:dyDescent="0.25">
      <c r="B203"/>
      <c r="C203"/>
      <c r="D203"/>
      <c r="E203"/>
      <c r="F203"/>
      <c r="G203"/>
      <c r="H203"/>
      <c r="I203"/>
      <c r="J203"/>
    </row>
    <row r="204" spans="2:10" x14ac:dyDescent="0.25">
      <c r="B204" t="s">
        <v>37</v>
      </c>
      <c r="C204"/>
      <c r="D204"/>
      <c r="E204"/>
      <c r="F204"/>
      <c r="G204"/>
      <c r="H204"/>
      <c r="I204"/>
      <c r="J204"/>
    </row>
    <row r="205" spans="2:10" x14ac:dyDescent="0.25">
      <c r="B205"/>
      <c r="C205"/>
      <c r="D205"/>
      <c r="E205"/>
      <c r="F205"/>
      <c r="G205"/>
      <c r="H205"/>
      <c r="I205"/>
      <c r="J205"/>
    </row>
    <row r="206" spans="2:10" x14ac:dyDescent="0.25">
      <c r="B206" s="3" t="s">
        <v>38</v>
      </c>
      <c r="C206" s="2" t="s">
        <v>39</v>
      </c>
      <c r="D206" s="2" t="s">
        <v>40</v>
      </c>
      <c r="E206" s="2" t="s">
        <v>41</v>
      </c>
      <c r="F206" s="2" t="s">
        <v>42</v>
      </c>
      <c r="G206" s="2" t="s">
        <v>43</v>
      </c>
      <c r="H206" s="2" t="s">
        <v>44</v>
      </c>
      <c r="I206" s="2" t="s">
        <v>45</v>
      </c>
      <c r="J206" s="2" t="s">
        <v>46</v>
      </c>
    </row>
    <row r="207" spans="2:10" x14ac:dyDescent="0.25">
      <c r="B207" s="2" t="s">
        <v>1</v>
      </c>
      <c r="C207" s="2">
        <f>C198</f>
        <v>-3000000</v>
      </c>
      <c r="D207" s="2">
        <f>C183</f>
        <v>35550000</v>
      </c>
      <c r="E207" s="2">
        <f>C192</f>
        <v>-137999999.99999988</v>
      </c>
      <c r="F207" s="2">
        <v>0</v>
      </c>
      <c r="G207" s="2"/>
      <c r="H207" s="2">
        <f>C207+D207+E207+F207</f>
        <v>-105449999.99999988</v>
      </c>
      <c r="I207" s="2">
        <f>1/((1+$F$33)^0)</f>
        <v>1</v>
      </c>
      <c r="J207" s="2">
        <f>H207*I207</f>
        <v>-105449999.99999988</v>
      </c>
    </row>
    <row r="208" spans="2:10" x14ac:dyDescent="0.25">
      <c r="B208" s="2" t="s">
        <v>2</v>
      </c>
      <c r="C208" s="2"/>
      <c r="D208" s="2"/>
      <c r="E208" s="2">
        <f>D192</f>
        <v>-14268000</v>
      </c>
      <c r="F208" s="2">
        <f>D174</f>
        <v>-201790000</v>
      </c>
      <c r="G208" s="2"/>
      <c r="H208" s="2">
        <f>C208+D208+E208+F208</f>
        <v>-216058000</v>
      </c>
      <c r="I208" s="2">
        <f>1/((1+$F$33)^1)</f>
        <v>0.93415230390532744</v>
      </c>
      <c r="J208" s="2">
        <f t="shared" ref="J208:J210" si="38">H208*I208</f>
        <v>-201831078.47717723</v>
      </c>
    </row>
    <row r="209" spans="2:10" x14ac:dyDescent="0.25">
      <c r="B209" s="2" t="s">
        <v>3</v>
      </c>
      <c r="C209" s="2"/>
      <c r="D209" s="2"/>
      <c r="E209" s="2">
        <f>E192</f>
        <v>97853855.999999881</v>
      </c>
      <c r="F209" s="2">
        <f>E174</f>
        <v>-333088000</v>
      </c>
      <c r="G209" s="2"/>
      <c r="H209" s="2">
        <f>C209+D209+E209+F209</f>
        <v>-235234144.00000012</v>
      </c>
      <c r="I209" s="2">
        <f>1/((1+$F$33)^2)</f>
        <v>0.87264052689163119</v>
      </c>
      <c r="J209" s="2">
        <f t="shared" si="38"/>
        <v>-205274847.36306193</v>
      </c>
    </row>
    <row r="210" spans="2:10" x14ac:dyDescent="0.25">
      <c r="B210" s="2" t="s">
        <v>4</v>
      </c>
      <c r="C210" s="2"/>
      <c r="D210" s="2"/>
      <c r="E210" s="2">
        <f>F192</f>
        <v>97853855.999999881</v>
      </c>
      <c r="F210" s="2">
        <f>F174</f>
        <v>-505252384</v>
      </c>
      <c r="G210" s="2" t="s">
        <v>68</v>
      </c>
      <c r="H210" s="2">
        <f>C210+D210+E210+F210</f>
        <v>-407398528.00000012</v>
      </c>
      <c r="I210" s="2">
        <f>1/((1+$F$33)^3)</f>
        <v>0.81517915867697599</v>
      </c>
      <c r="J210" s="2">
        <f t="shared" si="38"/>
        <v>-332102789.30127853</v>
      </c>
    </row>
    <row r="211" spans="2:10" x14ac:dyDescent="0.25">
      <c r="B211" s="2"/>
      <c r="C211" s="2"/>
      <c r="D211" s="2"/>
      <c r="E211" s="2"/>
      <c r="F211" s="2"/>
      <c r="G211" s="2"/>
      <c r="H211" s="2"/>
      <c r="I211" s="3" t="s">
        <v>47</v>
      </c>
      <c r="J211" s="3">
        <f>J207+J208+J209+J210</f>
        <v>-844658715.14151764</v>
      </c>
    </row>
    <row r="212" spans="2:10" x14ac:dyDescent="0.25">
      <c r="B212"/>
      <c r="C212"/>
      <c r="D212"/>
      <c r="E212"/>
      <c r="F212"/>
      <c r="G212"/>
      <c r="H212"/>
      <c r="I212"/>
      <c r="J212"/>
    </row>
    <row r="213" spans="2:10" x14ac:dyDescent="0.25">
      <c r="B213" s="1" t="s">
        <v>70</v>
      </c>
      <c r="C213"/>
      <c r="D213"/>
      <c r="E213"/>
      <c r="F213"/>
      <c r="G213"/>
      <c r="H213"/>
      <c r="I213"/>
      <c r="J213"/>
    </row>
  </sheetData>
  <pageMargins left="0.7" right="0.7" top="0.75" bottom="0.75" header="0.3" footer="0.3"/>
  <pageSetup orientation="portrait" r:id="rId1"/>
  <ignoredErrors>
    <ignoredError sqref="C17" formulaRange="1"/>
    <ignoredError sqref="F3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EACF1-75CB-466A-B1A0-3DCCEF728238}">
  <dimension ref="A1:I61"/>
  <sheetViews>
    <sheetView topLeftCell="A16" workbookViewId="0">
      <selection activeCell="A2" sqref="A2"/>
    </sheetView>
  </sheetViews>
  <sheetFormatPr defaultRowHeight="15" x14ac:dyDescent="0.25"/>
  <cols>
    <col min="1" max="1" width="39.5703125" customWidth="1"/>
    <col min="2" max="2" width="10.7109375" bestFit="1" customWidth="1"/>
    <col min="3" max="3" width="11.85546875" bestFit="1" customWidth="1"/>
    <col min="4" max="4" width="15.28515625" bestFit="1" customWidth="1"/>
    <col min="5" max="8" width="12" bestFit="1" customWidth="1"/>
    <col min="9" max="9" width="18" bestFit="1" customWidth="1"/>
  </cols>
  <sheetData>
    <row r="1" spans="1:6" x14ac:dyDescent="0.25">
      <c r="A1" t="s">
        <v>103</v>
      </c>
    </row>
    <row r="3" spans="1:6" x14ac:dyDescent="0.25">
      <c r="A3" s="1" t="s">
        <v>0</v>
      </c>
    </row>
    <row r="4" spans="1:6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25">
      <c r="A5" s="2" t="s">
        <v>6</v>
      </c>
      <c r="B5" s="2"/>
      <c r="C5" s="2">
        <v>6000000</v>
      </c>
      <c r="D5" s="2">
        <f>C5*1.05</f>
        <v>6300000</v>
      </c>
      <c r="E5" s="2">
        <f>D5*1.1</f>
        <v>6930000.0000000009</v>
      </c>
      <c r="F5" s="2">
        <v>3500000</v>
      </c>
    </row>
    <row r="6" spans="1:6" x14ac:dyDescent="0.25">
      <c r="A6" s="2" t="s">
        <v>7</v>
      </c>
      <c r="B6" s="2"/>
      <c r="C6" s="2">
        <v>895</v>
      </c>
      <c r="D6" s="2">
        <f>C6*1.02</f>
        <v>912.9</v>
      </c>
      <c r="E6" s="2">
        <f>D6*1.02</f>
        <v>931.15800000000002</v>
      </c>
      <c r="F6" s="2">
        <f xml:space="preserve"> (0.6*700)+(0.18*745)+(0.22*650)</f>
        <v>697.1</v>
      </c>
    </row>
    <row r="7" spans="1:6" x14ac:dyDescent="0.25">
      <c r="A7" s="2" t="s">
        <v>9</v>
      </c>
      <c r="B7" s="2"/>
      <c r="C7" s="2">
        <f>C5*C6</f>
        <v>5370000000</v>
      </c>
      <c r="D7" s="2">
        <f>D5*D6</f>
        <v>5751270000</v>
      </c>
      <c r="E7" s="2">
        <f t="shared" ref="E7:F7" si="0">E5*E6</f>
        <v>6452924940.000001</v>
      </c>
      <c r="F7" s="2">
        <f t="shared" si="0"/>
        <v>2439850000</v>
      </c>
    </row>
    <row r="8" spans="1:6" x14ac:dyDescent="0.25">
      <c r="A8" s="2" t="s">
        <v>8</v>
      </c>
      <c r="B8" s="2"/>
      <c r="C8" s="2">
        <f>800*1.005</f>
        <v>803.99999999999989</v>
      </c>
      <c r="D8" s="2">
        <f>(C8*1.03)*1.005</f>
        <v>832.26059999999984</v>
      </c>
      <c r="E8" s="2">
        <f t="shared" ref="E8:F8" si="1">(D8*1.03)*1.005</f>
        <v>861.51456008999969</v>
      </c>
      <c r="F8" s="2">
        <f>(E8*1.03)*1.005</f>
        <v>891.79679687716305</v>
      </c>
    </row>
    <row r="9" spans="1:6" x14ac:dyDescent="0.25">
      <c r="A9" s="2" t="s">
        <v>10</v>
      </c>
      <c r="B9" s="2"/>
      <c r="C9" s="2">
        <f>C5*C8</f>
        <v>4823999999.999999</v>
      </c>
      <c r="D9" s="2">
        <f t="shared" ref="D9:F9" si="2">D5*D8</f>
        <v>5243241779.999999</v>
      </c>
      <c r="E9" s="2">
        <f t="shared" si="2"/>
        <v>5970295901.4236984</v>
      </c>
      <c r="F9" s="2">
        <f t="shared" si="2"/>
        <v>3121288789.0700707</v>
      </c>
    </row>
    <row r="10" spans="1:6" x14ac:dyDescent="0.25">
      <c r="A10" s="2" t="s">
        <v>11</v>
      </c>
      <c r="B10" s="2"/>
      <c r="C10" s="2">
        <f>C7-C9</f>
        <v>546000000.00000095</v>
      </c>
      <c r="D10" s="2">
        <f t="shared" ref="D10" si="3">D7-D9</f>
        <v>508028220.00000095</v>
      </c>
      <c r="E10" s="2">
        <f>E7-E9</f>
        <v>482629038.57630253</v>
      </c>
      <c r="F10" s="2">
        <f>F7-F9</f>
        <v>-681438789.07007074</v>
      </c>
    </row>
    <row r="11" spans="1:6" x14ac:dyDescent="0.25">
      <c r="A11" s="2" t="s">
        <v>12</v>
      </c>
      <c r="B11" s="2"/>
      <c r="C11" s="2">
        <f>0.1429*525000000</f>
        <v>75022500</v>
      </c>
      <c r="D11" s="2">
        <f>0.2449*525000000</f>
        <v>128572500</v>
      </c>
      <c r="E11" s="2">
        <f>0.1749*525000000</f>
        <v>91822500</v>
      </c>
      <c r="F11" s="2">
        <f>0.1249*525000000</f>
        <v>65572500</v>
      </c>
    </row>
    <row r="12" spans="1:6" x14ac:dyDescent="0.25">
      <c r="A12" s="2" t="s">
        <v>13</v>
      </c>
      <c r="B12" s="2"/>
      <c r="C12" s="2">
        <f>(C10-C11)*0.21</f>
        <v>98905275.000000194</v>
      </c>
      <c r="D12" s="2">
        <f t="shared" ref="D12:F12" si="4">(D10-D11)*0.21</f>
        <v>79685701.200000197</v>
      </c>
      <c r="E12" s="2">
        <f t="shared" si="4"/>
        <v>82069373.101023525</v>
      </c>
      <c r="F12" s="2">
        <f t="shared" si="4"/>
        <v>-156872370.70471486</v>
      </c>
    </row>
    <row r="13" spans="1:6" x14ac:dyDescent="0.25">
      <c r="A13" s="2" t="s">
        <v>14</v>
      </c>
      <c r="B13" s="2"/>
      <c r="C13" s="2">
        <f>C10-C12</f>
        <v>447094725.00000077</v>
      </c>
      <c r="D13" s="2">
        <f t="shared" ref="D13:F13" si="5">D10-D12</f>
        <v>428342518.80000079</v>
      </c>
      <c r="E13" s="2">
        <f t="shared" si="5"/>
        <v>400559665.47527897</v>
      </c>
      <c r="F13" s="2">
        <f t="shared" si="5"/>
        <v>-524566418.36535585</v>
      </c>
    </row>
    <row r="14" spans="1:6" x14ac:dyDescent="0.25">
      <c r="A14" s="2" t="s">
        <v>15</v>
      </c>
      <c r="B14" s="2"/>
      <c r="C14" s="2">
        <v>35000000</v>
      </c>
      <c r="D14" s="2">
        <v>35000000</v>
      </c>
      <c r="E14" s="2">
        <v>35000000</v>
      </c>
      <c r="F14" s="2">
        <v>20000000</v>
      </c>
    </row>
    <row r="15" spans="1:6" x14ac:dyDescent="0.25">
      <c r="A15" s="2" t="s">
        <v>16</v>
      </c>
      <c r="B15" s="2"/>
      <c r="C15" s="2">
        <f>C13+C14</f>
        <v>482094725.00000077</v>
      </c>
      <c r="D15" s="2">
        <f t="shared" ref="D15:F15" si="6">D13+D14</f>
        <v>463342518.80000079</v>
      </c>
      <c r="E15" s="2">
        <f t="shared" si="6"/>
        <v>435559665.47527897</v>
      </c>
      <c r="F15" s="2">
        <f t="shared" si="6"/>
        <v>-504566418.36535585</v>
      </c>
    </row>
    <row r="17" spans="1:6" x14ac:dyDescent="0.25">
      <c r="A17" s="1" t="s">
        <v>64</v>
      </c>
    </row>
    <row r="18" spans="1:6" x14ac:dyDescent="0.25">
      <c r="A18" t="s">
        <v>17</v>
      </c>
    </row>
    <row r="19" spans="1:6" x14ac:dyDescent="0.25">
      <c r="A19" t="s">
        <v>18</v>
      </c>
    </row>
    <row r="20" spans="1:6" x14ac:dyDescent="0.25">
      <c r="A20" t="s">
        <v>19</v>
      </c>
    </row>
    <row r="21" spans="1:6" x14ac:dyDescent="0.25">
      <c r="A21" t="s">
        <v>20</v>
      </c>
    </row>
    <row r="22" spans="1:6" x14ac:dyDescent="0.25">
      <c r="A22" t="s">
        <v>21</v>
      </c>
    </row>
    <row r="24" spans="1:6" x14ac:dyDescent="0.25">
      <c r="A24" s="1" t="s">
        <v>22</v>
      </c>
    </row>
    <row r="25" spans="1:6" x14ac:dyDescent="0.25">
      <c r="A25" s="2"/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 x14ac:dyDescent="0.25">
      <c r="A26" s="2" t="s">
        <v>23</v>
      </c>
      <c r="B26" s="2">
        <f>45000000*0.79</f>
        <v>35550000</v>
      </c>
      <c r="C26" s="2"/>
      <c r="D26" s="2"/>
      <c r="E26" s="2"/>
      <c r="F26" s="2"/>
    </row>
    <row r="28" spans="1:6" x14ac:dyDescent="0.25">
      <c r="A28" t="s">
        <v>29</v>
      </c>
    </row>
    <row r="30" spans="1:6" x14ac:dyDescent="0.25">
      <c r="A30" s="1" t="s">
        <v>24</v>
      </c>
    </row>
    <row r="31" spans="1:6" x14ac:dyDescent="0.25">
      <c r="A31" s="2"/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</row>
    <row r="32" spans="1:6" x14ac:dyDescent="0.25">
      <c r="A32" s="2" t="s">
        <v>25</v>
      </c>
      <c r="B32" s="2">
        <f>0.18*C7</f>
        <v>966600000</v>
      </c>
      <c r="C32" s="2">
        <f t="shared" ref="C32:F32" si="7">0.18*D7</f>
        <v>1035228600</v>
      </c>
      <c r="D32" s="2">
        <f t="shared" si="7"/>
        <v>1161526489.2</v>
      </c>
      <c r="E32" s="2">
        <f t="shared" si="7"/>
        <v>439173000</v>
      </c>
      <c r="F32" s="2">
        <f t="shared" si="7"/>
        <v>0</v>
      </c>
    </row>
    <row r="33" spans="1:6" x14ac:dyDescent="0.25">
      <c r="A33" s="2" t="s">
        <v>26</v>
      </c>
      <c r="B33" s="2">
        <f>0.14*C9</f>
        <v>675359999.99999988</v>
      </c>
      <c r="C33" s="2">
        <f t="shared" ref="C33:F33" si="8">0.14*D9</f>
        <v>734053849.19999993</v>
      </c>
      <c r="D33" s="2">
        <f t="shared" si="8"/>
        <v>835841426.19931781</v>
      </c>
      <c r="E33" s="2">
        <f t="shared" si="8"/>
        <v>436980430.46980995</v>
      </c>
      <c r="F33" s="2">
        <f t="shared" si="8"/>
        <v>0</v>
      </c>
    </row>
    <row r="34" spans="1:6" x14ac:dyDescent="0.25">
      <c r="A34" s="2" t="s">
        <v>27</v>
      </c>
      <c r="B34" s="2">
        <f>B32-B33</f>
        <v>291240000.00000012</v>
      </c>
      <c r="C34" s="2">
        <f t="shared" ref="C34:F34" si="9">C32-C33</f>
        <v>301174750.80000007</v>
      </c>
      <c r="D34" s="2">
        <f t="shared" si="9"/>
        <v>325685063.00068223</v>
      </c>
      <c r="E34" s="2">
        <f t="shared" si="9"/>
        <v>2192569.5301900506</v>
      </c>
      <c r="F34" s="2">
        <f t="shared" si="9"/>
        <v>0</v>
      </c>
    </row>
    <row r="35" spans="1:6" x14ac:dyDescent="0.25">
      <c r="A35" s="2" t="s">
        <v>28</v>
      </c>
      <c r="B35" s="2">
        <f>-B34</f>
        <v>-291240000.00000012</v>
      </c>
      <c r="C35" s="2">
        <f>B35+C34</f>
        <v>9934750.7999999523</v>
      </c>
      <c r="D35" s="2">
        <f t="shared" ref="D35:F35" si="10">C35+D34</f>
        <v>335619813.80068219</v>
      </c>
      <c r="E35" s="2">
        <f t="shared" si="10"/>
        <v>337812383.33087224</v>
      </c>
      <c r="F35" s="2">
        <f t="shared" si="10"/>
        <v>337812383.33087224</v>
      </c>
    </row>
    <row r="37" spans="1:6" x14ac:dyDescent="0.25">
      <c r="A37" t="s">
        <v>30</v>
      </c>
    </row>
    <row r="39" spans="1:6" x14ac:dyDescent="0.25">
      <c r="A39" s="1" t="s">
        <v>31</v>
      </c>
    </row>
    <row r="40" spans="1:6" x14ac:dyDescent="0.25">
      <c r="A40" s="2"/>
      <c r="B40" s="2" t="s">
        <v>1</v>
      </c>
      <c r="C40" s="2" t="s">
        <v>2</v>
      </c>
      <c r="D40" s="2" t="s">
        <v>3</v>
      </c>
      <c r="E40" s="2" t="s">
        <v>4</v>
      </c>
      <c r="F40" s="2" t="s">
        <v>5</v>
      </c>
    </row>
    <row r="41" spans="1:6" x14ac:dyDescent="0.25">
      <c r="A41" s="2" t="s">
        <v>32</v>
      </c>
      <c r="B41" s="2">
        <f>-475000000</f>
        <v>-475000000</v>
      </c>
      <c r="C41" s="2"/>
      <c r="D41" s="2"/>
      <c r="E41" s="2"/>
      <c r="F41" s="2"/>
    </row>
    <row r="42" spans="1:6" x14ac:dyDescent="0.25">
      <c r="A42" s="2" t="s">
        <v>33</v>
      </c>
      <c r="B42" s="2">
        <f>-50000000</f>
        <v>-50000000</v>
      </c>
      <c r="C42" s="2"/>
      <c r="D42" s="2"/>
      <c r="E42" s="2"/>
      <c r="F42" s="2"/>
    </row>
    <row r="43" spans="1:6" x14ac:dyDescent="0.25">
      <c r="A43" s="2" t="s">
        <v>34</v>
      </c>
      <c r="B43" s="2">
        <f>B41+B42</f>
        <v>-525000000</v>
      </c>
      <c r="C43" s="2"/>
      <c r="D43" s="2"/>
      <c r="E43" s="2"/>
      <c r="F43" s="2"/>
    </row>
    <row r="45" spans="1:6" x14ac:dyDescent="0.25">
      <c r="A45" s="1" t="s">
        <v>35</v>
      </c>
    </row>
    <row r="46" spans="1:6" x14ac:dyDescent="0.25">
      <c r="A46" s="2"/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</row>
    <row r="47" spans="1:6" x14ac:dyDescent="0.25">
      <c r="A47" s="2" t="s">
        <v>58</v>
      </c>
      <c r="B47" s="2"/>
      <c r="C47" s="2"/>
      <c r="D47" s="2"/>
      <c r="E47" s="2"/>
      <c r="F47" s="2">
        <f>(0.25*475000000)*0.79</f>
        <v>93812500</v>
      </c>
    </row>
    <row r="48" spans="1:6" x14ac:dyDescent="0.25">
      <c r="A48" s="2" t="s">
        <v>36</v>
      </c>
      <c r="B48" s="2"/>
      <c r="C48" s="2"/>
      <c r="D48" s="2"/>
      <c r="E48" s="2"/>
      <c r="F48" s="2">
        <f>52000000*0.79</f>
        <v>41080000</v>
      </c>
    </row>
    <row r="50" spans="1:9" x14ac:dyDescent="0.25">
      <c r="A50" t="s">
        <v>37</v>
      </c>
    </row>
    <row r="52" spans="1:9" x14ac:dyDescent="0.25">
      <c r="A52" s="3" t="s">
        <v>38</v>
      </c>
      <c r="B52" s="2" t="s">
        <v>39</v>
      </c>
      <c r="C52" s="2" t="s">
        <v>40</v>
      </c>
      <c r="D52" s="2" t="s">
        <v>41</v>
      </c>
      <c r="E52" s="2" t="s">
        <v>42</v>
      </c>
      <c r="F52" s="2" t="s">
        <v>43</v>
      </c>
      <c r="G52" s="2" t="s">
        <v>44</v>
      </c>
      <c r="H52" s="2" t="s">
        <v>45</v>
      </c>
      <c r="I52" s="2" t="s">
        <v>46</v>
      </c>
    </row>
    <row r="53" spans="1:9" x14ac:dyDescent="0.25">
      <c r="A53" s="2" t="s">
        <v>1</v>
      </c>
      <c r="B53" s="2">
        <f>B43</f>
        <v>-525000000</v>
      </c>
      <c r="C53" s="2">
        <f>B26</f>
        <v>35550000</v>
      </c>
      <c r="D53" s="2">
        <f>B35</f>
        <v>-291240000.00000012</v>
      </c>
      <c r="E53" s="2">
        <v>0</v>
      </c>
      <c r="F53" s="2"/>
      <c r="G53" s="2">
        <f>B53+C53+D53+E53</f>
        <v>-780690000.00000012</v>
      </c>
      <c r="H53" s="2">
        <f>1/(1.13^0)</f>
        <v>1</v>
      </c>
      <c r="I53" s="2">
        <f>G53*H53</f>
        <v>-780690000.00000012</v>
      </c>
    </row>
    <row r="54" spans="1:9" x14ac:dyDescent="0.25">
      <c r="A54" s="2" t="s">
        <v>2</v>
      </c>
      <c r="B54" s="2"/>
      <c r="C54" s="2"/>
      <c r="D54" s="2">
        <f>C35</f>
        <v>9934750.7999999523</v>
      </c>
      <c r="E54" s="2">
        <f>C15</f>
        <v>482094725.00000077</v>
      </c>
      <c r="F54" s="2"/>
      <c r="G54" s="2">
        <f t="shared" ref="G54:G57" si="11">B54+C54+D54+E54</f>
        <v>492029475.80000073</v>
      </c>
      <c r="H54" s="2">
        <f>1/(1.13^1)</f>
        <v>0.88495575221238942</v>
      </c>
      <c r="I54" s="2">
        <f t="shared" ref="I54:I57" si="12">G54*H54</f>
        <v>435424314.8672573</v>
      </c>
    </row>
    <row r="55" spans="1:9" x14ac:dyDescent="0.25">
      <c r="A55" s="2" t="s">
        <v>3</v>
      </c>
      <c r="B55" s="2"/>
      <c r="C55" s="2"/>
      <c r="D55" s="2">
        <f>D35</f>
        <v>335619813.80068219</v>
      </c>
      <c r="E55" s="2">
        <f>D15</f>
        <v>463342518.80000079</v>
      </c>
      <c r="F55" s="2"/>
      <c r="G55" s="2">
        <f t="shared" si="11"/>
        <v>798962332.60068297</v>
      </c>
      <c r="H55" s="2">
        <f>1/(1.13^2)</f>
        <v>0.78314668337379612</v>
      </c>
      <c r="I55" s="2">
        <f t="shared" si="12"/>
        <v>625704700.91681659</v>
      </c>
    </row>
    <row r="56" spans="1:9" x14ac:dyDescent="0.25">
      <c r="A56" s="2" t="s">
        <v>4</v>
      </c>
      <c r="B56" s="2"/>
      <c r="C56" s="2"/>
      <c r="D56" s="2">
        <f>E35</f>
        <v>337812383.33087224</v>
      </c>
      <c r="E56" s="2">
        <f>E15</f>
        <v>435559665.47527897</v>
      </c>
      <c r="F56" s="2"/>
      <c r="G56" s="2">
        <f t="shared" si="11"/>
        <v>773372048.80615115</v>
      </c>
      <c r="H56" s="2">
        <f>1/(1.13^3)</f>
        <v>0.69305016227769578</v>
      </c>
      <c r="I56" s="2">
        <f t="shared" si="12"/>
        <v>535985623.92613709</v>
      </c>
    </row>
    <row r="57" spans="1:9" x14ac:dyDescent="0.25">
      <c r="A57" s="2" t="s">
        <v>5</v>
      </c>
      <c r="B57" s="2"/>
      <c r="C57" s="2"/>
      <c r="D57" s="2">
        <f>F35</f>
        <v>337812383.33087224</v>
      </c>
      <c r="E57" s="2">
        <f>F15</f>
        <v>-504566418.36535585</v>
      </c>
      <c r="F57" s="2">
        <f>F48+F47</f>
        <v>134892500</v>
      </c>
      <c r="G57" s="2">
        <f>B57+C57+D57+E57</f>
        <v>-166754035.03448361</v>
      </c>
      <c r="H57" s="2">
        <f>1/(1.13^4)</f>
        <v>0.61331872767937679</v>
      </c>
      <c r="I57" s="2">
        <f t="shared" si="12"/>
        <v>-102273372.60275172</v>
      </c>
    </row>
    <row r="58" spans="1:9" x14ac:dyDescent="0.25">
      <c r="A58" s="2"/>
      <c r="B58" s="2"/>
      <c r="C58" s="2"/>
      <c r="D58" s="2"/>
      <c r="E58" s="2"/>
      <c r="F58" s="2"/>
      <c r="G58" s="2"/>
      <c r="H58" s="3" t="s">
        <v>47</v>
      </c>
      <c r="I58" s="3">
        <f>I53+I54+I55+I56+I57</f>
        <v>714151267.10745907</v>
      </c>
    </row>
    <row r="59" spans="1:9" x14ac:dyDescent="0.25">
      <c r="A59" s="16"/>
      <c r="B59" s="16"/>
      <c r="C59" s="16"/>
      <c r="D59" s="16"/>
      <c r="E59" s="16"/>
      <c r="F59" s="16"/>
      <c r="G59" s="16"/>
      <c r="H59" s="16"/>
      <c r="I59" s="16"/>
    </row>
    <row r="60" spans="1:9" x14ac:dyDescent="0.25">
      <c r="A60" s="1" t="s">
        <v>66</v>
      </c>
      <c r="B60" s="16"/>
      <c r="C60" s="16"/>
      <c r="D60" s="16"/>
      <c r="E60" s="16"/>
      <c r="F60" s="16"/>
      <c r="G60" s="16"/>
      <c r="H60" s="16"/>
      <c r="I60" s="16"/>
    </row>
    <row r="61" spans="1:9" x14ac:dyDescent="0.25">
      <c r="A61" s="17" t="s">
        <v>67</v>
      </c>
      <c r="B61" s="16"/>
      <c r="C61" s="16"/>
      <c r="D61" s="16"/>
      <c r="E61" s="16"/>
      <c r="F61" s="16"/>
      <c r="G61" s="16"/>
      <c r="H61" s="16"/>
      <c r="I6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Question 1</vt:lpstr>
      <vt:lpstr>Question 1 (B)</vt:lpstr>
      <vt:lpstr>Question 2</vt:lpstr>
      <vt:lpstr>Qustion 3</vt:lpstr>
      <vt:lpstr>Question 4</vt:lpstr>
      <vt:lpstr>Question 5</vt:lpstr>
      <vt:lpstr>Question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 </cp:lastModifiedBy>
  <dcterms:created xsi:type="dcterms:W3CDTF">2020-11-19T23:27:18Z</dcterms:created>
  <dcterms:modified xsi:type="dcterms:W3CDTF">2020-11-22T09:50:39Z</dcterms:modified>
</cp:coreProperties>
</file>